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GGdzdwVZRrw0VOYQdgIzAaOhnGTNF588laaghPtWrpAK9kY1Qox+99vsM+UCHv3TphQ4Zih8U4XoekZYhdsQQ==" workbookSaltValue="X8NOBttTtTXdLNfr6nRc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AA11" i="16" s="1"/>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BL19" i="11"/>
  <c r="BM17" i="11"/>
  <c r="BF17" i="11"/>
  <c r="S14" i="16"/>
  <c r="P14" i="16"/>
  <c r="F13" i="16"/>
  <c r="R30" i="17"/>
  <c r="K26" i="2"/>
  <c r="N26" i="2"/>
  <c r="M23" i="2"/>
  <c r="K30" i="2"/>
  <c r="F30" i="17"/>
  <c r="F26" i="17"/>
  <c r="F14" i="7"/>
  <c r="BI25" i="11"/>
  <c r="BI19" i="11"/>
  <c r="BG16" i="11"/>
  <c r="V20" i="11"/>
  <c r="BL25" i="11"/>
  <c r="BG19" i="11"/>
  <c r="AZ9" i="11"/>
  <c r="AZ31" i="11" s="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L17" i="11"/>
  <c r="T14" i="20"/>
  <c r="BH22" i="11"/>
  <c r="BB26" i="13"/>
  <c r="BD9" i="8"/>
  <c r="L28" i="2"/>
  <c r="AH14" i="16"/>
  <c r="L17" i="2"/>
  <c r="AO14" i="21"/>
  <c r="U9" i="17"/>
  <c r="U31" i="17" s="1"/>
  <c r="V10" i="16"/>
  <c r="AP14" i="16"/>
  <c r="V9" i="16"/>
  <c r="X13" i="16"/>
  <c r="T23" i="17"/>
  <c r="T26" i="17" s="1"/>
  <c r="T30" i="17" s="1"/>
  <c r="U26" i="16"/>
  <c r="BG16"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F28" i="2" l="1"/>
  <c r="BF17" i="8"/>
  <c r="L17" i="14"/>
  <c r="BF16" i="8"/>
  <c r="J29" i="2"/>
  <c r="F16" i="11"/>
  <c r="AQ16" i="11" s="1"/>
  <c r="U13" i="16"/>
  <c r="P13" i="14"/>
  <c r="BH9" i="16"/>
  <c r="AP17" i="20"/>
  <c r="BJ22" i="11"/>
  <c r="BG10" i="11"/>
  <c r="V11" i="16"/>
  <c r="V25" i="11"/>
  <c r="BF10" i="11"/>
  <c r="V11" i="11"/>
  <c r="BM12" i="11"/>
  <c r="V9" i="11"/>
  <c r="BJ16" i="11"/>
  <c r="AP16" i="20"/>
  <c r="R25" i="14"/>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X22" i="16"/>
  <c r="S16" i="17"/>
  <c r="S17" i="17"/>
  <c r="L12" i="2"/>
  <c r="X19" i="16"/>
  <c r="X10" i="21"/>
  <c r="L20" i="2"/>
  <c r="X12" i="17"/>
  <c r="V25" i="16"/>
  <c r="L9" i="2"/>
  <c r="X16" i="16"/>
  <c r="X23" i="16" s="1"/>
  <c r="L18" i="2"/>
  <c r="L16" i="2"/>
  <c r="X21" i="20"/>
  <c r="L10" i="2"/>
  <c r="BK22" i="11"/>
  <c r="BH12" i="16"/>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AP22" i="20"/>
  <c r="V13" i="11"/>
  <c r="BK21" i="11"/>
  <c r="BL12" i="11"/>
  <c r="BF21" i="11"/>
  <c r="BJ18" i="11"/>
  <c r="R13" i="17"/>
  <c r="I13" i="14"/>
  <c r="BE17" i="13"/>
  <c r="BF16" i="13"/>
  <c r="BG17" i="13"/>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<sst xmlns="http://schemas.openxmlformats.org/spreadsheetml/2006/main" count="2668" uniqueCount="1184">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</sst>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1180</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pIk9lz3clyE8kAB3+htLTZpe8Ni06BXQb7Wiu96yqr7I+Bh0/1ouWFYp1knrKjFl5WjvNg9AgrnFeSMcw9v3w==" saltValue="sDh6hmZX7i5FCktPbmwc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33.540811455847255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130</v>
      </c>
      <c r="D10" s="239">
        <f>IF(ISNUMBER(Datos!I10),Datos!I10," - ")</f>
        <v>130</v>
      </c>
      <c r="E10" s="240">
        <f>IF(ISNUMBER(Datos!J10),Datos!J10," - ")</f>
        <v>40</v>
      </c>
      <c r="F10" s="240">
        <f>IF(ISNUMBER(Datos!K10),Datos!K10," - ")</f>
        <v>40</v>
      </c>
      <c r="G10" s="1390" t="str">
        <f>IF(Datos!E10&lt;&gt;"",Datos!E10,Datos!D10)</f>
        <v>37</v>
      </c>
      <c r="H10" s="241">
        <f>IF(ISNUMBER(Datos!L10),Datos!L10," - ")</f>
        <v>130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35.75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130</v>
      </c>
      <c r="D14" s="1407">
        <f>SUBTOTAL(9,D9:D13)</f>
        <v>130</v>
      </c>
      <c r="E14" s="1408">
        <f>SUBTOTAL(9,E9:E13)</f>
        <v>40</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1011</v>
      </c>
      <c r="D16" s="239">
        <f>IF(ISNUMBER(IF(D_I="SI",Datos!I16,Datos!I16+Datos!AC16)),IF(D_I="SI",Datos!I16,Datos!I16+Datos!AC16)," - ")</f>
        <v>969</v>
      </c>
      <c r="E16" s="240">
        <f>IF(ISNUMBER(IF(D_I="SI",Datos!J16,Datos!J16+Datos!AD16)),IF(D_I="SI",Datos!J16,Datos!J16+Datos!AD16)," - ")</f>
        <v>1989</v>
      </c>
      <c r="F16" s="240">
        <f>IF(ISNUMBER(IF(D_I="SI",Datos!K16,Datos!K16+Datos!AE16)),IF(D_I="SI",Datos!K16,Datos!K16+Datos!AE16)," - ")</f>
        <v>1919</v>
      </c>
      <c r="G16" s="1390" t="str">
        <f>IF(Datos!E16&lt;&gt;"",Datos!E16,Datos!D16)</f>
        <v>03</v>
      </c>
      <c r="H16" s="241">
        <f>IF(ISNUMBER(IF(D_I="SI",Datos!L16,Datos!L16+Datos!AF16)),IF(D_I="SI",Datos!L16,Datos!L16+Datos!AF16)," - ")</f>
        <v>1081</v>
      </c>
      <c r="I16" s="1400" t="str">
        <f>IF(ISNUMBER(Datos!AS16/Datos!BM16),Datos!AS16/Datos!BM16," - ")</f>
        <v xml:space="preserve"> - </v>
      </c>
      <c r="J16" s="1401">
        <f>IF(ISNUMBER(Datos!BY16/Datos!CN16),Datos!BY16/Datos!CN16," - ")</f>
        <v>0</v>
      </c>
      <c r="K16" s="244">
        <f t="shared" ref="K16:K22" si="3">IF(ISNUMBER((E16-F16)/C16),(E16-F16)/C16," - ")</f>
        <v>6.9238377843719084E-2</v>
      </c>
      <c r="L16" s="1402">
        <f>IF(ISNUMBER(NºAsuntos!I16/NºAsuntos!G16),(NºAsuntos!I16/NºAsuntos!G16)*11," - ")</f>
        <v>6.1964564877540385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9</v>
      </c>
      <c r="D17" s="239">
        <f>IF(ISNUMBER(IF(D_I="SI",Datos!I17,Datos!I17+Datos!AC17)),IF(D_I="SI",Datos!I17,Datos!I17+Datos!AC17)," - ")</f>
        <v>9</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-0.1111111111111111</v>
      </c>
      <c r="L17" s="1402">
        <f>IF(ISNUMBER(NºAsuntos!I17/NºAsuntos!G17),(NºAsuntos!I17/NºAsuntos!G17)*11," - ")</f>
        <v>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241</v>
      </c>
      <c r="D18" s="239">
        <f>IF(ISNUMBER(IF(D_I="SI",Datos!I18,Datos!I18+Datos!AC18)),IF(D_I="SI",Datos!I18,Datos!I18+Datos!AC18)," - ")</f>
        <v>240</v>
      </c>
      <c r="E18" s="240">
        <f>IF(ISNUMBER(IF(D_I="SI",Datos!J18,Datos!J18+Datos!AD18)),IF(D_I="SI",Datos!J18,Datos!J18+Datos!AD18)," - ")</f>
        <v>483</v>
      </c>
      <c r="F18" s="240">
        <f>IF(ISNUMBER(IF(D_I="SI",Datos!K18,Datos!K18+Datos!AE18)),IF(D_I="SI",Datos!K18,Datos!K18+Datos!AE18)," - ")</f>
        <v>403</v>
      </c>
      <c r="G18" s="1390" t="str">
        <f>IF(Datos!E18&lt;&gt;"",Datos!E18,Datos!D18)</f>
        <v>37</v>
      </c>
      <c r="H18" s="241">
        <f>IF(ISNUMBER(IF(D_I="SI",Datos!L18,Datos!L18+Datos!AF18)),IF(D_I="SI",Datos!L18,Datos!L18+Datos!AF18)," - ")</f>
        <v>321</v>
      </c>
      <c r="I18" s="1400" t="str">
        <f>IF(ISNUMBER(Datos!AS18/Datos!BM18),Datos!AS18/Datos!BM18," - ")</f>
        <v xml:space="preserve"> - </v>
      </c>
      <c r="J18" s="1401" t="str">
        <f>IF(ISNUMBER((Datos!BY18+Datos!BZ18)/Datos!CN18),(Datos!BY18+Datos!BZ18)/Datos!CN18," - ")</f>
        <v xml:space="preserve"> - </v>
      </c>
      <c r="K18" s="244">
        <f t="shared" si="3"/>
        <v>0.33195020746887965</v>
      </c>
      <c r="L18" s="1402">
        <f>IF(ISNUMBER(NºAsuntos!I18/NºAsuntos!G18),(NºAsuntos!I18/NºAsuntos!G18)*11," - ")</f>
        <v>8.7617866004962774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1261</v>
      </c>
      <c r="D23" s="1407">
        <f>SUBTOTAL(9,D16:D22)</f>
        <v>1218</v>
      </c>
      <c r="E23" s="1408">
        <f>SUBTOTAL(9,E16:E22)</f>
        <v>2472</v>
      </c>
      <c r="F23" s="1408">
        <f>SUBTOTAL(9,F16:F22)</f>
        <v>2323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1391</v>
      </c>
      <c r="D31" s="1435">
        <f>SUBTOTAL(9,D9:D30)</f>
        <v>1348</v>
      </c>
      <c r="E31" s="1436">
        <f>SUBTOTAL(9,E9:E30)</f>
        <v>2512</v>
      </c>
      <c r="F31" s="1436">
        <f>SUBTOTAL(9,F9:F30)</f>
        <v>2363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PLX9D9gBgW2wQAUgLJS8GE4tzfFFBpGLx5NXb7CT1yxNo7+2Jg+C1sAzPlEwKmQo2kz8Un9L3O2RAa0+BAnuw==" saltValue="ZTnCuzILiX1evjxMCIdX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1UTRh2EtUWbRlaUGxWPRKQOtc9lXhGOlxRUYafVzZfU9BDA6M3ZeHZMtaNcM3b+WbScd509FB8VPFMPfuR3cw==" saltValue="d/ozBKwnxyap0I32Rrmg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5652</v>
      </c>
      <c r="J9" s="194">
        <v>2321</v>
      </c>
      <c r="K9" s="194">
        <v>1855</v>
      </c>
      <c r="L9" s="194">
        <v>6073</v>
      </c>
      <c r="M9" s="194">
        <v>347</v>
      </c>
      <c r="N9" s="194">
        <v>1111</v>
      </c>
      <c r="O9" s="194">
        <v>726</v>
      </c>
      <c r="P9" s="194">
        <v>428</v>
      </c>
      <c r="Q9" s="194">
        <v>551</v>
      </c>
      <c r="R9" s="194">
        <v>6594</v>
      </c>
      <c r="S9" s="194">
        <v>3658</v>
      </c>
      <c r="T9" s="194">
        <v>2047</v>
      </c>
      <c r="U9" s="194">
        <v>1805</v>
      </c>
      <c r="V9" s="194">
        <v>3900</v>
      </c>
      <c r="W9" s="194">
        <v>335</v>
      </c>
      <c r="X9" s="201">
        <v>1081</v>
      </c>
      <c r="Y9" s="204">
        <v>274</v>
      </c>
      <c r="Z9" s="194">
        <v>223</v>
      </c>
      <c r="AA9" s="194">
        <v>240</v>
      </c>
      <c r="AB9" s="194">
        <v>315</v>
      </c>
      <c r="AC9" s="194">
        <v>0</v>
      </c>
      <c r="AD9" s="194">
        <v>0</v>
      </c>
      <c r="AE9" s="194">
        <v>0</v>
      </c>
      <c r="AF9" s="201">
        <v>0</v>
      </c>
      <c r="AG9" s="204">
        <v>158</v>
      </c>
      <c r="AH9" s="194">
        <v>210</v>
      </c>
      <c r="AI9" s="194">
        <v>186</v>
      </c>
      <c r="AJ9" s="205">
        <v>182</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3816</v>
      </c>
      <c r="AZ9" s="133">
        <f>IF(ISNUMBER(IF(J_V="SI",T9,T9+AH9)),IF(J_V="SI",T9,T9+AH9)," - ")</f>
        <v>2257</v>
      </c>
      <c r="BA9" s="134">
        <f>IF(ISNUMBER(IF(J_V="SI",U9,U9+AI9)),IF(J_V="SI",U9,U9+AI9)," - ")</f>
        <v>1991</v>
      </c>
      <c r="BB9" s="134">
        <f>IF(ISNUMBER(IF(J_V="SI",V9,V9+AJ9)),IF(J_V="SI",V9,V9+AJ9)," - ")</f>
        <v>4082</v>
      </c>
      <c r="BC9" s="135">
        <f>IF(ISNUMBER(X9),X9," - ")</f>
        <v>1081</v>
      </c>
      <c r="BD9" s="136">
        <f>IF(ISNUMBER(BA9/AZ9),BA9/AZ9," - ")</f>
        <v>0.88214443952148869</v>
      </c>
      <c r="BE9" s="137">
        <f>IF(ISNUMBER(BB9/BA9),BB9/BA9, " - ")</f>
        <v>2.0502260170768456</v>
      </c>
      <c r="BF9" s="137">
        <f>IF(ISNUMBER(BC9/BA9),BC9/BA9, " - ")</f>
        <v>0.5429432446007032</v>
      </c>
      <c r="BG9" s="209">
        <f>IF(ISNUMBER((AY9+AZ9)/BA9),(AY9+AZ9)/BA9," - ")</f>
        <v>3.0502260170768456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40</v>
      </c>
      <c r="K10" s="194">
        <v>40</v>
      </c>
      <c r="L10" s="194">
        <v>130</v>
      </c>
      <c r="M10" s="194">
        <v>11</v>
      </c>
      <c r="N10" s="194">
        <v>20</v>
      </c>
      <c r="O10" s="194">
        <v>7</v>
      </c>
      <c r="P10" s="194">
        <v>3</v>
      </c>
      <c r="Q10" s="194">
        <v>3</v>
      </c>
      <c r="R10" s="194">
        <v>85</v>
      </c>
      <c r="S10" s="194">
        <v>89</v>
      </c>
      <c r="T10" s="194">
        <v>28</v>
      </c>
      <c r="U10" s="194">
        <v>23</v>
      </c>
      <c r="V10" s="194">
        <v>94</v>
      </c>
      <c r="W10" s="194">
        <v>6</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89</v>
      </c>
      <c r="AZ10" s="139">
        <f t="shared" si="0"/>
        <v>28</v>
      </c>
      <c r="BA10" s="139">
        <f t="shared" si="0"/>
        <v>23</v>
      </c>
      <c r="BB10" s="139">
        <f t="shared" si="0"/>
        <v>94</v>
      </c>
      <c r="BC10" s="135">
        <f t="shared" si="0"/>
        <v>6</v>
      </c>
      <c r="BD10" s="136">
        <f>IF(ISNUMBER(BA10/AZ10),BA10/AZ10," - ")</f>
        <v>0.8214285714285714</v>
      </c>
      <c r="BE10" s="137">
        <f>IF(ISNUMBER(BB10/BA10),BB10/BA10, " - ")</f>
        <v>4.0869565217391308</v>
      </c>
      <c r="BF10" s="137">
        <f>IF(ISNUMBER(BC10/BA10),BC10/BA10, " - ")</f>
        <v>0.2608695652173913</v>
      </c>
      <c r="BG10" s="209">
        <f>IF(ISNUMBER((AY10+AZ10)/BA10),(AY10+AZ10)/BA10," - ")</f>
        <v>5.0869565217391308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5782</v>
      </c>
      <c r="J14" s="197">
        <f t="shared" si="7"/>
        <v>2361</v>
      </c>
      <c r="K14" s="197">
        <f t="shared" si="7"/>
        <v>1895</v>
      </c>
      <c r="L14" s="197">
        <f t="shared" si="7"/>
        <v>6203</v>
      </c>
      <c r="M14" s="197">
        <f t="shared" si="7"/>
        <v>358</v>
      </c>
      <c r="N14" s="197">
        <f t="shared" si="7"/>
        <v>1131</v>
      </c>
      <c r="O14" s="197">
        <f t="shared" si="7"/>
        <v>733</v>
      </c>
      <c r="P14" s="197">
        <f t="shared" si="7"/>
        <v>431</v>
      </c>
      <c r="Q14" s="197">
        <f t="shared" si="7"/>
        <v>554</v>
      </c>
      <c r="R14" s="197">
        <f t="shared" si="7"/>
        <v>6679</v>
      </c>
      <c r="S14" s="197">
        <f t="shared" si="7"/>
        <v>3747</v>
      </c>
      <c r="T14" s="197">
        <f t="shared" si="7"/>
        <v>2075</v>
      </c>
      <c r="U14" s="197">
        <f t="shared" si="7"/>
        <v>1828</v>
      </c>
      <c r="V14" s="197">
        <f t="shared" si="7"/>
        <v>3994</v>
      </c>
      <c r="W14" s="197">
        <f t="shared" si="7"/>
        <v>341</v>
      </c>
      <c r="X14" s="197">
        <f t="shared" si="7"/>
        <v>1088</v>
      </c>
      <c r="Y14" s="197">
        <f t="shared" si="7"/>
        <v>274</v>
      </c>
      <c r="Z14" s="197">
        <f t="shared" si="7"/>
        <v>223</v>
      </c>
      <c r="AA14" s="197">
        <f t="shared" si="7"/>
        <v>240</v>
      </c>
      <c r="AB14" s="197">
        <f t="shared" si="7"/>
        <v>315</v>
      </c>
      <c r="AC14" s="197">
        <f t="shared" si="7"/>
        <v>0</v>
      </c>
      <c r="AD14" s="197">
        <f t="shared" si="7"/>
        <v>0</v>
      </c>
      <c r="AE14" s="197">
        <f t="shared" si="7"/>
        <v>0</v>
      </c>
      <c r="AF14" s="197">
        <f>SUBTOTAL(9,AF9:AF13)</f>
        <v>0</v>
      </c>
      <c r="AG14" s="197">
        <f t="shared" ref="AG14:AT14" si="8">SUBTOTAL(9,AG8:AG13)</f>
        <v>158</v>
      </c>
      <c r="AH14" s="197">
        <f t="shared" si="8"/>
        <v>210</v>
      </c>
      <c r="AI14" s="197">
        <f t="shared" si="8"/>
        <v>186</v>
      </c>
      <c r="AJ14" s="197">
        <f t="shared" si="8"/>
        <v>182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3905</v>
      </c>
      <c r="AZ14" s="197">
        <f>SUBTOTAL(9,AZ8:AZ13)</f>
        <v>2285</v>
      </c>
      <c r="BA14" s="197">
        <f>SUBTOTAL(9,BA8:BA13)</f>
        <v>2014</v>
      </c>
      <c r="BB14" s="197">
        <f>SUBTOTAL(9,BB8:BB13)</f>
        <v>4176</v>
      </c>
      <c r="BC14" s="197">
        <f>SUBTOTAL(9,BC8:BC13)</f>
        <v>1087</v>
      </c>
      <c r="BD14" s="219">
        <f>IF(ISNUMBER(BA14/AZ14),BA14/AZ14," - ")</f>
        <v>0.88140043763676146</v>
      </c>
      <c r="BE14" s="220">
        <f>IF(ISNUMBER(BB14/BA14),BB14/BA14, " - ")</f>
        <v>2.0734856007944389</v>
      </c>
      <c r="BF14" s="220">
        <f>IF(ISNUMBER(BC14/BA14),BC14/BA14, " - ")</f>
        <v>0.53972194637537241</v>
      </c>
      <c r="BG14" s="221">
        <f>IF(ISNUMBER((AY14+AZ14)/BA14),(AY14+AZ14)/BA14," - ")</f>
        <v>3.0734856007944389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969</v>
      </c>
      <c r="J16" s="196">
        <v>1989</v>
      </c>
      <c r="K16" s="196">
        <v>1919</v>
      </c>
      <c r="L16" s="196">
        <v>1081</v>
      </c>
      <c r="M16" s="196">
        <v>179</v>
      </c>
      <c r="N16" s="196">
        <v>1074</v>
      </c>
      <c r="O16" s="194">
        <v>16</v>
      </c>
      <c r="P16" s="196">
        <v>69</v>
      </c>
      <c r="Q16" s="196">
        <v>44</v>
      </c>
      <c r="R16" s="196">
        <v>348</v>
      </c>
      <c r="S16" s="196">
        <v>1073</v>
      </c>
      <c r="T16" s="196">
        <v>2029</v>
      </c>
      <c r="U16" s="196">
        <v>1962</v>
      </c>
      <c r="V16" s="196">
        <v>1179</v>
      </c>
      <c r="W16" s="196">
        <v>187</v>
      </c>
      <c r="X16" s="202">
        <v>1189</v>
      </c>
      <c r="Y16" s="215">
        <v>0</v>
      </c>
      <c r="Z16" s="196">
        <v>0</v>
      </c>
      <c r="AA16" s="196">
        <v>0</v>
      </c>
      <c r="AB16" s="196">
        <v>0</v>
      </c>
      <c r="AC16" s="196">
        <v>0</v>
      </c>
      <c r="AD16" s="196">
        <v>23</v>
      </c>
      <c r="AE16" s="196">
        <v>23</v>
      </c>
      <c r="AF16" s="202">
        <v>0</v>
      </c>
      <c r="AG16" s="215">
        <v>0</v>
      </c>
      <c r="AH16" s="196">
        <v>0</v>
      </c>
      <c r="AI16" s="196">
        <v>0</v>
      </c>
      <c r="AJ16" s="216">
        <v>0</v>
      </c>
      <c r="AK16" s="195">
        <v>0</v>
      </c>
      <c r="AL16" s="196">
        <v>17</v>
      </c>
      <c r="AM16" s="196">
        <v>17</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1073</v>
      </c>
      <c r="AZ16" s="139">
        <f t="shared" si="10"/>
        <v>2029</v>
      </c>
      <c r="BA16" s="139">
        <f t="shared" si="10"/>
        <v>1962</v>
      </c>
      <c r="BB16" s="139">
        <f t="shared" si="10"/>
        <v>1179</v>
      </c>
      <c r="BC16" s="135">
        <f>IF(ISNUMBER(W16),W16," - ")</f>
        <v>187</v>
      </c>
      <c r="BD16" s="136">
        <f>IF(ISNUMBER(BA16/AZ16),BA16/AZ16," - ")</f>
        <v>0.96697880729423358</v>
      </c>
      <c r="BE16" s="137">
        <f>IF(ISNUMBER(BB16/BA16),BB16/BA16, " - ")</f>
        <v>0.6009174311926605</v>
      </c>
      <c r="BF16" s="137">
        <f>IF(ISNUMBER(BC16/BA16),BC16/BA16, " - ")</f>
        <v>9.5310907237512746E-2</v>
      </c>
      <c r="BG16" s="209">
        <f t="shared" ref="BG16:BG22" si="11">IF(ISNUMBER((AY16+AZ16)/BA16),(AY16+AZ16)/BA16," - ")</f>
        <v>1.581039755351682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v>
      </c>
      <c r="J17" s="196">
        <v>0</v>
      </c>
      <c r="K17" s="196">
        <v>1</v>
      </c>
      <c r="L17" s="196">
        <v>8</v>
      </c>
      <c r="M17" s="196">
        <v>0</v>
      </c>
      <c r="N17" s="196">
        <v>0</v>
      </c>
      <c r="O17" s="194">
        <v>0</v>
      </c>
      <c r="P17" s="196">
        <v>0</v>
      </c>
      <c r="Q17" s="196">
        <v>0</v>
      </c>
      <c r="R17" s="196">
        <v>0</v>
      </c>
      <c r="S17" s="196">
        <v>10</v>
      </c>
      <c r="T17" s="196">
        <v>0</v>
      </c>
      <c r="U17" s="196">
        <v>0</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10</v>
      </c>
      <c r="AZ17" s="137">
        <f t="shared" si="10"/>
        <v>0</v>
      </c>
      <c r="BA17" s="137">
        <f t="shared" si="10"/>
        <v>0</v>
      </c>
      <c r="BB17" s="137">
        <f t="shared" si="10"/>
        <v>10</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240</v>
      </c>
      <c r="J18" s="196">
        <v>483</v>
      </c>
      <c r="K18" s="196">
        <v>403</v>
      </c>
      <c r="L18" s="196">
        <v>321</v>
      </c>
      <c r="M18" s="196">
        <v>6</v>
      </c>
      <c r="N18" s="196">
        <v>249</v>
      </c>
      <c r="O18" s="196">
        <v>0</v>
      </c>
      <c r="P18" s="196">
        <v>1</v>
      </c>
      <c r="Q18" s="196">
        <v>0</v>
      </c>
      <c r="R18" s="196">
        <v>7</v>
      </c>
      <c r="S18" s="196">
        <v>163</v>
      </c>
      <c r="T18" s="196">
        <v>473</v>
      </c>
      <c r="U18" s="196">
        <v>442</v>
      </c>
      <c r="V18" s="196">
        <v>210</v>
      </c>
      <c r="W18" s="196">
        <v>6</v>
      </c>
      <c r="X18" s="202">
        <v>219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163</v>
      </c>
      <c r="AZ18" s="139">
        <f t="shared" si="15"/>
        <v>473</v>
      </c>
      <c r="BA18" s="139">
        <f t="shared" si="15"/>
        <v>442</v>
      </c>
      <c r="BB18" s="139">
        <f t="shared" si="15"/>
        <v>210</v>
      </c>
      <c r="BC18" s="135">
        <f>IF(ISNUMBER(W18),W18," - ")</f>
        <v>6</v>
      </c>
      <c r="BD18" s="136">
        <f>IF(ISNUMBER(BA18/AZ18),BA18/AZ18," - ")</f>
        <v>0.93446088794926008</v>
      </c>
      <c r="BE18" s="137">
        <f>IF(ISNUMBER(BB18/BA18),BB18/BA18, " - ")</f>
        <v>0.47511312217194568</v>
      </c>
      <c r="BF18" s="137">
        <f>IF(ISNUMBER(BC18/BA18),BC18/BA18, " - ")</f>
        <v>1.3574660633484163E-2</v>
      </c>
      <c r="BG18" s="209">
        <f>IF(ISNUMBER((AY18+AZ18)/BA18),(AY18+AZ18)/BA18," - ")</f>
        <v>1.4389140271493213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1218</v>
      </c>
      <c r="J23" s="197">
        <f t="shared" si="21"/>
        <v>2472</v>
      </c>
      <c r="K23" s="197">
        <f t="shared" si="21"/>
        <v>2323</v>
      </c>
      <c r="L23" s="197">
        <f t="shared" si="21"/>
        <v>1410</v>
      </c>
      <c r="M23" s="197">
        <f t="shared" si="21"/>
        <v>185</v>
      </c>
      <c r="N23" s="197">
        <f t="shared" si="21"/>
        <v>1323</v>
      </c>
      <c r="O23" s="197">
        <f t="shared" si="21"/>
        <v>16</v>
      </c>
      <c r="P23" s="197">
        <f t="shared" si="21"/>
        <v>70</v>
      </c>
      <c r="Q23" s="197">
        <f t="shared" si="21"/>
        <v>44</v>
      </c>
      <c r="R23" s="197">
        <f t="shared" si="21"/>
        <v>355</v>
      </c>
      <c r="S23" s="197">
        <f t="shared" si="21"/>
        <v>1246</v>
      </c>
      <c r="T23" s="197">
        <f t="shared" si="21"/>
        <v>2502</v>
      </c>
      <c r="U23" s="197">
        <f t="shared" si="21"/>
        <v>2404</v>
      </c>
      <c r="V23" s="197">
        <f t="shared" si="21"/>
        <v>1399</v>
      </c>
      <c r="W23" s="197">
        <f t="shared" si="21"/>
        <v>193</v>
      </c>
      <c r="X23" s="197">
        <f t="shared" si="21"/>
        <v>1408</v>
      </c>
      <c r="Y23" s="197">
        <f t="shared" si="21"/>
        <v>0</v>
      </c>
      <c r="Z23" s="197">
        <f t="shared" si="21"/>
        <v>0</v>
      </c>
      <c r="AA23" s="197">
        <f t="shared" si="21"/>
        <v>0</v>
      </c>
      <c r="AB23" s="197">
        <f t="shared" si="21"/>
        <v>0</v>
      </c>
      <c r="AC23" s="197">
        <f t="shared" si="21"/>
        <v>0</v>
      </c>
      <c r="AD23" s="197">
        <f t="shared" si="21"/>
        <v>23</v>
      </c>
      <c r="AE23" s="197">
        <f t="shared" si="21"/>
        <v>23</v>
      </c>
      <c r="AF23" s="197">
        <f t="shared" si="21"/>
        <v>0</v>
      </c>
      <c r="AG23" s="197">
        <f t="shared" si="21"/>
        <v>0</v>
      </c>
      <c r="AH23" s="197">
        <f t="shared" si="21"/>
        <v>0</v>
      </c>
      <c r="AI23" s="197">
        <f t="shared" si="21"/>
        <v>0</v>
      </c>
      <c r="AJ23" s="197">
        <f t="shared" si="21"/>
        <v>0</v>
      </c>
      <c r="AK23" s="197">
        <f t="shared" si="21"/>
        <v>0</v>
      </c>
      <c r="AL23" s="197">
        <f t="shared" si="21"/>
        <v>17</v>
      </c>
      <c r="AM23" s="197">
        <f t="shared" si="21"/>
        <v>17</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1246</v>
      </c>
      <c r="AZ23" s="197">
        <f>SUBTOTAL(9,AZ15:AZ22)</f>
        <v>2502</v>
      </c>
      <c r="BA23" s="197">
        <f>SUBTOTAL(9,BA15:BA22)</f>
        <v>2404</v>
      </c>
      <c r="BB23" s="197">
        <f>SUBTOTAL(9,BB15:BB22)</f>
        <v>1399</v>
      </c>
      <c r="BC23" s="197">
        <f>SUBTOTAL(9,BC15:BC22)</f>
        <v>193</v>
      </c>
      <c r="BD23" s="219">
        <f>IF(ISNUMBER(BA23/AZ23),BA23/AZ23," - ")</f>
        <v>0.9608313349320543</v>
      </c>
      <c r="BE23" s="220">
        <f>IF(ISNUMBER(BB23/BA23),BB23/BA23, " - ")</f>
        <v>0.58194675540765395</v>
      </c>
      <c r="BF23" s="220">
        <f>IF(ISNUMBER(BC23/BA23),BC23/BA23, " - ")</f>
        <v>8.02828618968386E-2</v>
      </c>
      <c r="BG23" s="221">
        <f>IF(ISNUMBER((AY23+AZ23)/BA23),(AY23+AZ23)/BA23," - ")</f>
        <v>1.5590682196339434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7000</v>
      </c>
      <c r="J31" s="144">
        <f t="shared" si="36"/>
        <v>4833</v>
      </c>
      <c r="K31" s="144">
        <f t="shared" si="36"/>
        <v>4218</v>
      </c>
      <c r="L31" s="144">
        <f t="shared" si="36"/>
        <v>7613</v>
      </c>
      <c r="M31" s="144">
        <f t="shared" si="36"/>
        <v>543</v>
      </c>
      <c r="N31" s="144">
        <f t="shared" si="36"/>
        <v>2454</v>
      </c>
      <c r="O31" s="144">
        <f t="shared" si="36"/>
        <v>749</v>
      </c>
      <c r="P31" s="144">
        <f t="shared" si="36"/>
        <v>501</v>
      </c>
      <c r="Q31" s="144">
        <f t="shared" si="36"/>
        <v>598</v>
      </c>
      <c r="R31" s="144">
        <f t="shared" si="36"/>
        <v>7034</v>
      </c>
      <c r="S31" s="144">
        <f t="shared" si="36"/>
        <v>4993</v>
      </c>
      <c r="T31" s="144">
        <f t="shared" si="36"/>
        <v>4577</v>
      </c>
      <c r="U31" s="144">
        <f t="shared" si="36"/>
        <v>4232</v>
      </c>
      <c r="V31" s="144">
        <f t="shared" si="36"/>
        <v>5393</v>
      </c>
      <c r="W31" s="144">
        <f t="shared" si="36"/>
        <v>534</v>
      </c>
      <c r="X31" s="144">
        <f t="shared" si="36"/>
        <v>2496</v>
      </c>
      <c r="Y31" s="144">
        <f t="shared" si="36"/>
        <v>274</v>
      </c>
      <c r="Z31" s="144">
        <f t="shared" si="36"/>
        <v>223</v>
      </c>
      <c r="AA31" s="144">
        <f t="shared" si="36"/>
        <v>240</v>
      </c>
      <c r="AB31" s="144">
        <f t="shared" si="36"/>
        <v>315</v>
      </c>
      <c r="AC31" s="144">
        <f t="shared" si="36"/>
        <v>0</v>
      </c>
      <c r="AD31" s="144">
        <f t="shared" si="36"/>
        <v>23</v>
      </c>
      <c r="AE31" s="144">
        <f t="shared" si="36"/>
        <v>23</v>
      </c>
      <c r="AF31" s="144">
        <f t="shared" si="36"/>
        <v>0</v>
      </c>
      <c r="AG31" s="144">
        <f t="shared" si="36"/>
        <v>158</v>
      </c>
      <c r="AH31" s="144">
        <f t="shared" si="36"/>
        <v>210</v>
      </c>
      <c r="AI31" s="144">
        <f t="shared" si="36"/>
        <v>186</v>
      </c>
      <c r="AJ31" s="144">
        <f t="shared" si="36"/>
        <v>182</v>
      </c>
      <c r="AK31" s="144">
        <f t="shared" si="36"/>
        <v>0</v>
      </c>
      <c r="AL31" s="144">
        <f t="shared" si="36"/>
        <v>17</v>
      </c>
      <c r="AM31" s="144">
        <f t="shared" si="36"/>
        <v>17</v>
      </c>
      <c r="AN31" s="224">
        <f t="shared" si="36"/>
        <v>0</v>
      </c>
      <c r="AO31" s="225">
        <v>11</v>
      </c>
      <c r="AP31" s="225">
        <v>11</v>
      </c>
      <c r="AQ31" s="225">
        <v>11</v>
      </c>
      <c r="AR31" s="225">
        <v>11</v>
      </c>
      <c r="AS31" s="166">
        <f t="shared" si="36"/>
        <v>0</v>
      </c>
      <c r="AT31" s="166">
        <f t="shared" si="36"/>
        <v>0</v>
      </c>
      <c r="AU31" s="225"/>
      <c r="AV31" s="226"/>
      <c r="AW31" s="225"/>
      <c r="AX31" s="226"/>
      <c r="AY31" s="143">
        <f>SUBTOTAL(9,AY9:AY30)</f>
        <v>5151</v>
      </c>
      <c r="AZ31" s="144">
        <f>SUBTOTAL(9,AZ9:AZ30)</f>
        <v>4787</v>
      </c>
      <c r="BA31" s="144">
        <f>SUBTOTAL(9,BA9:BA30)</f>
        <v>4418</v>
      </c>
      <c r="BB31" s="144">
        <f>SUBTOTAL(9,BB9:BB30)</f>
        <v>5575</v>
      </c>
      <c r="BC31" s="145">
        <f>SUBTOTAL(9,BC9:BC30)</f>
        <v>1280</v>
      </c>
      <c r="BD31" s="227">
        <f>IF(ISNUMBER(BA31/AZ31),BA31/AZ31," - ")</f>
        <v>0.92291623146020474</v>
      </c>
      <c r="BE31" s="224">
        <f>IF(ISNUMBER(BB31/BA31),BB31/BA31, " - ")</f>
        <v>1.2618832050701676</v>
      </c>
      <c r="BF31" s="224">
        <f>IF(ISNUMBER(BC31/BA31),BC31/BA31, " - ")</f>
        <v>0.28972385694884562</v>
      </c>
      <c r="BG31" s="145">
        <f>IF(ISNUMBER((AY31+AZ31)/BA31),(AY31+AZ31)/BA31," - ")</f>
        <v>2.249434133091897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rS0HWXV18yYDRjFkAx7yPwrhnYFvIsaFioW5vrlGrhfMKKLvbHMKURDPfnpUZYgveACEJi1wL7n3xxFwDn/Lg==" saltValue="7rznrjbrndRDa1QKwR9U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sqhHmcPbG71Hh2wEcuNkZGAegQlhStvh6kFfSbDuHkgEnh+76nzk138zBNSwf7w2BttqLqUlAxGmL/oTx5img==" saltValue="+lQ8vnhR4GRvBir2z0mv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TORREJON DE ARDOZ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223</v>
      </c>
      <c r="O9" s="549"/>
      <c r="P9" s="549"/>
      <c r="Q9" s="547">
        <f>IF(ISNUMBER(Datos!P9),Datos!P9,0)</f>
        <v>428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315</v>
      </c>
      <c r="AI9" s="549" t="str">
        <f>IF(ISNUMBER(Datos!CD9),Datos!CD9,"-")</f>
        <v>-</v>
      </c>
      <c r="AJ9" s="549" t="str">
        <f>IF(ISNUMBER(Datos!EN9),Datos!EN9," - ")</f>
        <v xml:space="preserve"> - </v>
      </c>
      <c r="AK9" s="549"/>
      <c r="AL9" s="550"/>
      <c r="AM9" s="766">
        <f>IF(ISNUMBER(Datos!R9),Datos!R9," - ")</f>
        <v>6594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347</v>
      </c>
      <c r="BD9" s="693">
        <f>IF(ISNUMBER(Datos!N9),Datos!N9," - ")</f>
        <v>1111</v>
      </c>
      <c r="BE9" s="693" t="str">
        <f>IF(ISNUMBER(Datos!BW9),Datos!BW9," - ")</f>
        <v xml:space="preserve"> - </v>
      </c>
      <c r="BF9" s="762" t="str">
        <f>IF(ISNUMBER(Datos!BX9),Datos!BX9," - ")</f>
        <v xml:space="preserve"> - </v>
      </c>
      <c r="BG9" s="763">
        <f>IF(ISNUMBER(IF(J_V="SI",Datos!K9/Datos!J9,(Datos!K9+Datos!AA9)/(Datos!J9+Datos!Z9))),IF(J_V="SI",Datos!K9/Datos!J9,(Datos!K9+Datos!AA9)/(Datos!J9+Datos!Z9))," - ")</f>
        <v>0.82350628930817615</v>
      </c>
      <c r="BH9" s="764">
        <f>IF(ISNUMBER(((IF(J_V="SI",Datos!L9/Datos!K9,(Datos!L9+Datos!AB9)/(Datos!K9+Datos!AA9)))*11)/factor_trimestre),((IF(J_V="SI",Datos!L9/Datos!K9,(Datos!L9+Datos!AB9)/(Datos!K9+Datos!AA9)))*11)/factor_trimestre," - ")</f>
        <v>6.098329355608592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-1.831174631531934E-2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130</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3</v>
      </c>
      <c r="AD10" s="549"/>
      <c r="AE10" s="563"/>
      <c r="AF10" s="551">
        <f>IF(ISNUMBER(Datos!L10),Datos!L10,"-")</f>
        <v>130</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20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130</v>
      </c>
      <c r="G14" s="1197">
        <f t="shared" si="1"/>
        <v>130</v>
      </c>
      <c r="H14" s="1198">
        <f t="shared" si="1"/>
        <v>0</v>
      </c>
      <c r="I14" s="1197">
        <f t="shared" si="1"/>
        <v>0</v>
      </c>
      <c r="J14" s="1164">
        <f t="shared" si="1"/>
        <v>0</v>
      </c>
      <c r="K14" s="1164">
        <f t="shared" si="1"/>
        <v>0</v>
      </c>
      <c r="L14" s="1198">
        <f t="shared" si="1"/>
        <v>0</v>
      </c>
      <c r="M14" s="1198">
        <f t="shared" si="1"/>
        <v>0</v>
      </c>
      <c r="N14" s="1198">
        <f t="shared" si="1"/>
        <v>223</v>
      </c>
      <c r="O14" s="1199">
        <f t="shared" si="1"/>
        <v>0</v>
      </c>
      <c r="P14" s="1199">
        <f t="shared" si="1"/>
        <v>0</v>
      </c>
      <c r="Q14" s="1198">
        <f t="shared" si="1"/>
        <v>431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554</v>
      </c>
      <c r="AD14" s="1198">
        <f t="shared" si="2"/>
        <v>0</v>
      </c>
      <c r="AE14" s="1198">
        <f t="shared" si="2"/>
        <v>0</v>
      </c>
      <c r="AF14" s="1198">
        <f t="shared" si="2"/>
        <v>130</v>
      </c>
      <c r="AG14" s="1198">
        <f t="shared" si="2"/>
        <v>0</v>
      </c>
      <c r="AH14" s="1198">
        <f t="shared" si="2"/>
        <v>315</v>
      </c>
      <c r="AI14" s="1198">
        <f t="shared" si="2"/>
        <v>0</v>
      </c>
      <c r="AJ14" s="1198">
        <f t="shared" si="2"/>
        <v>0</v>
      </c>
      <c r="AK14" s="1198">
        <f t="shared" si="2"/>
        <v>0</v>
      </c>
      <c r="AL14" s="1198">
        <f t="shared" si="2"/>
        <v>0</v>
      </c>
      <c r="AM14" s="1198">
        <f t="shared" si="2"/>
        <v>6679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358</v>
      </c>
      <c r="BD14" s="1198">
        <f t="shared" si="2"/>
        <v>1131</v>
      </c>
      <c r="BE14" s="1198">
        <f t="shared" si="2"/>
        <v>0</v>
      </c>
      <c r="BF14" s="1198">
        <f t="shared" si="2"/>
        <v>0</v>
      </c>
      <c r="BG14" s="1198">
        <f>IF(ISNUMBER(Datos!K14/Datos!J14),Datos!K14/Datos!J14," - ")</f>
        <v>0.8026260059296908</v>
      </c>
      <c r="BH14" s="1202">
        <f>IF(ISNUMBER(((Datos!L14/Datos!K14)*11)/factor_trimestre),((Datos!L14/Datos!K14)*11)/factor_trimestre," - ")</f>
        <v>6.5467018469656999</v>
      </c>
      <c r="BI14" s="1198">
        <f>IF(ISNUMBER('Resol  Asuntos'!D14/NºAsuntos!G14),'Resol  Asuntos'!D14/NºAsuntos!G14," - ")</f>
        <v>0.16768149882903982</v>
      </c>
      <c r="BJ14" s="1198" t="str">
        <f>IF(ISNUMBER(Datos!CI14/Datos!CJ14),Datos!CI14/Datos!CJ14," - ")</f>
        <v xml:space="preserve"> - </v>
      </c>
      <c r="BK14" s="1198">
        <f>SUBTOTAL(9,BK8:BK13)</f>
        <v>0</v>
      </c>
      <c r="BL14" s="1198">
        <f>IF(ISNUMBER((I14-AB14+L14)/(F14)),(I14-AB14+L14)/(F14)," - ")</f>
        <v>-0.30769230769230771</v>
      </c>
      <c r="BM14" s="1203">
        <f>SUBTOTAL(9,BM9:BM13)</f>
        <v>-1.831174631531934E-2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1011</v>
      </c>
      <c r="G16" s="743">
        <f>IF(ISNUMBER(IF(D_I="SI",Datos!I16,Datos!I16+Datos!AC16)),IF(D_I="SI",Datos!I16,Datos!I16+Datos!AC16)," - ")</f>
        <v>969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1919</v>
      </c>
      <c r="AC16" s="240">
        <f>IF(ISNUMBER(Datos!Q16),Datos!Q16," - ")</f>
        <v>44</v>
      </c>
      <c r="AD16" s="374"/>
      <c r="AE16" s="562"/>
      <c r="AF16" s="741">
        <f>IF(ISNUMBER(IF(D_I="SI",Datos!L16,Datos!L16+Datos!AF16)),IF(D_I="SI",Datos!L16,Datos!L16+Datos!AF16)," - ")</f>
        <v>1081</v>
      </c>
      <c r="AG16" s="374"/>
      <c r="AH16" s="374"/>
      <c r="AI16" s="374"/>
      <c r="AJ16" s="549"/>
      <c r="AK16" s="374"/>
      <c r="AL16" s="545"/>
      <c r="AM16" s="375">
        <f>IF(ISNUMBER(Datos!R16),Datos!R16," - ")</f>
        <v>348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179</v>
      </c>
      <c r="BD16" s="243">
        <f>IF(ISNUMBER(Datos!N16),Datos!N16," - ")</f>
        <v>1074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0.9648064353946707</v>
      </c>
      <c r="BH16" s="764">
        <f>IF(ISNUMBER(((IF(D_I="SI",Datos!L16/Datos!K16,(Datos!L16+Datos!AF16)/(Datos!K16+Datos!AE16)))*11)/factor_trimestre),((IF(D_I="SI",Datos!L16/Datos!K16,(Datos!L16+Datos!AF16)/(Datos!K16+Datos!AE16)))*11)/factor_trimestre," - ")</f>
        <v>1.1266284523189161</v>
      </c>
      <c r="BI16" s="266">
        <f>IF(ISNUMBER('Resol  Asuntos'!D16/NºAsuntos!G16),'Resol  Asuntos'!D16/NºAsuntos!G16," - ")</f>
        <v>9.3277748827514329E-2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9</v>
      </c>
      <c r="G17" s="743">
        <f>IF(ISNUMBER(IF(D_I="SI",Datos!I17,Datos!I17+Datos!AC17)),IF(D_I="SI",Datos!I17,Datos!I17+Datos!AC17)," - ")</f>
        <v>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16</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403</v>
      </c>
      <c r="AC18" s="547">
        <f>IF(ISNUMBER(Datos!Q18),Datos!Q18," - ")</f>
        <v>0</v>
      </c>
      <c r="AD18" s="549"/>
      <c r="AE18" s="562"/>
      <c r="AF18" s="551">
        <f>IF(ISNUMBER(Datos!L18),Datos!L18,"-")</f>
        <v>321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0.83436853002070388</v>
      </c>
      <c r="BH18" s="764">
        <f>IF(ISNUMBER(((IF(D_I="SI",Datos!L18/Datos!K18,(Datos!L18+Datos!AF18)/(Datos!K18+Datos!AE18)))*11)/factor_trimestre),((IF(D_I="SI",Datos!L18/Datos!K18,(Datos!L18+Datos!AF18)/(Datos!K18+Datos!AE18)))*11)/factor_trimestre," - ")</f>
        <v>1.5930521091811414</v>
      </c>
      <c r="BI18" s="763">
        <f>IF(ISNUMBER('Resol  Asuntos'!D18/NºAsuntos!G18),'Resol  Asuntos'!D18/NºAsuntos!G18," - ")</f>
        <v>1.488833746898263E-2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1020</v>
      </c>
      <c r="G23" s="1197">
        <f>SUBTOTAL(9,G16:G22)</f>
        <v>1218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2323</v>
      </c>
      <c r="AC23" s="1198">
        <f t="shared" si="5"/>
        <v>44</v>
      </c>
      <c r="AD23" s="1198">
        <f t="shared" si="5"/>
        <v>0</v>
      </c>
      <c r="AE23" s="1198">
        <f t="shared" si="5"/>
        <v>0</v>
      </c>
      <c r="AF23" s="1198">
        <f t="shared" si="5"/>
        <v>1410</v>
      </c>
      <c r="AG23" s="1198">
        <f t="shared" si="5"/>
        <v>0</v>
      </c>
      <c r="AH23" s="1198">
        <f t="shared" si="5"/>
        <v>0</v>
      </c>
      <c r="AI23" s="1198">
        <f t="shared" si="5"/>
        <v>0</v>
      </c>
      <c r="AJ23" s="1198">
        <f t="shared" si="5"/>
        <v>0</v>
      </c>
      <c r="AK23" s="1198">
        <f t="shared" si="5"/>
        <v>0</v>
      </c>
      <c r="AL23" s="1198">
        <f t="shared" si="5"/>
        <v>0</v>
      </c>
      <c r="AM23" s="1198">
        <f t="shared" si="5"/>
        <v>355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1323</v>
      </c>
      <c r="BE23" s="1198">
        <f t="shared" si="5"/>
        <v>0</v>
      </c>
      <c r="BF23" s="1198">
        <f t="shared" si="5"/>
        <v>0</v>
      </c>
      <c r="BG23" s="1198">
        <f>IF(ISNUMBER(Datos!K23/Datos!J23),Datos!K23/Datos!J23," - ")</f>
        <v>0.93972491909385114</v>
      </c>
      <c r="BH23" s="1202">
        <f>IF(ISNUMBER(((Datos!L23/Datos!K23)*11)/factor_trimestre),((Datos!L23/Datos!K23)*11)/factor_trimestre," - ")</f>
        <v>1.2139474817046922</v>
      </c>
      <c r="BI23" s="1198">
        <f>SUBTOTAL(9,BI16:BI22)</f>
        <v>0.10816608629649696</v>
      </c>
      <c r="BJ23" s="1198">
        <f>SUBTOTAL(9,BJ16:BJ22)</f>
        <v>0</v>
      </c>
      <c r="BK23" s="1198">
        <f>SUBTOTAL(9,BK16:BK22)</f>
        <v>0</v>
      </c>
      <c r="BL23" s="1198">
        <f>IF(ISNUMBER((I23-AB23+L23)/(F23)),(I23-AB23+L23)/(F23)," - ")</f>
        <v>-2.2774509803921568</v>
      </c>
      <c r="BM23" s="1205">
        <f>IF(ISNUMBER((Datos!P23-Datos!Q23)/(Datos!R23-Datos!P23+Datos!Q23)),(Datos!P23-Datos!Q23)/(Datos!R23-Datos!P23+Datos!Q23)," - ")</f>
        <v>7.9027355623100301E-2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1150</v>
      </c>
      <c r="G31" s="1117">
        <f t="shared" si="18"/>
        <v>1348</v>
      </c>
      <c r="H31" s="1119">
        <f t="shared" si="18"/>
        <v>0</v>
      </c>
      <c r="I31" s="1117">
        <f t="shared" si="18"/>
        <v>0</v>
      </c>
      <c r="J31" s="1119">
        <f t="shared" si="18"/>
        <v>0</v>
      </c>
      <c r="K31" s="1119">
        <f t="shared" si="18"/>
        <v>0</v>
      </c>
      <c r="L31" s="1180">
        <f t="shared" si="18"/>
        <v>0</v>
      </c>
      <c r="M31" s="1180">
        <f t="shared" si="18"/>
        <v>0</v>
      </c>
      <c r="N31" s="1180">
        <f t="shared" si="18"/>
        <v>223</v>
      </c>
      <c r="O31" s="1180">
        <f t="shared" si="18"/>
        <v>0</v>
      </c>
      <c r="P31" s="1180">
        <f t="shared" si="18"/>
        <v>0</v>
      </c>
      <c r="Q31" s="1119">
        <f t="shared" si="18"/>
        <v>501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2363</v>
      </c>
      <c r="AC31" s="1118">
        <f t="shared" si="19"/>
        <v>598</v>
      </c>
      <c r="AD31" s="1118">
        <f t="shared" si="19"/>
        <v>0</v>
      </c>
      <c r="AE31" s="1118">
        <f t="shared" si="19"/>
        <v>0</v>
      </c>
      <c r="AF31" s="1125">
        <f t="shared" si="19"/>
        <v>1540</v>
      </c>
      <c r="AG31" s="1125">
        <f t="shared" si="19"/>
        <v>0</v>
      </c>
      <c r="AH31" s="1125">
        <f t="shared" si="19"/>
        <v>315</v>
      </c>
      <c r="AI31" s="1125">
        <f t="shared" si="19"/>
        <v>0</v>
      </c>
      <c r="AJ31" s="1118">
        <f t="shared" si="19"/>
        <v>0</v>
      </c>
      <c r="AK31" s="1125">
        <f t="shared" si="19"/>
        <v>0</v>
      </c>
      <c r="AL31" s="1125">
        <f t="shared" si="19"/>
        <v>0</v>
      </c>
      <c r="AM31" s="1125">
        <f t="shared" si="19"/>
        <v>7034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543</v>
      </c>
      <c r="BD31" s="1117">
        <f t="shared" si="19"/>
        <v>2454</v>
      </c>
      <c r="BE31" s="1117">
        <f t="shared" si="19"/>
        <v>0</v>
      </c>
      <c r="BF31" s="1127">
        <f t="shared" si="19"/>
        <v>0</v>
      </c>
      <c r="BG31" s="1223">
        <f>IF(ISNUMBER(Datos!K31/Datos!J31),Datos!K31/Datos!J31," - ")</f>
        <v>0.87274984481688389</v>
      </c>
      <c r="BH31" s="1223">
        <f>IF(ISNUMBER(((Datos!L31/Datos!K31)*11)/factor_trimestre),((Datos!L31/Datos!K31)*11)/factor_trimestre," - ")</f>
        <v>3.6097676623992414</v>
      </c>
      <c r="BI31" s="1103">
        <f>IF(ISNUMBER(Datos!J31/Datos!I31),Datos!J31/Datos!I31," - ")</f>
        <v>0.69042857142857139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-2.054782608695652</v>
      </c>
      <c r="BM31" s="1188">
        <f>IF(ISNUMBER((Datos!P31-Datos!Q31+R31)/(Datos!R31-Datos!P31+Datos!Q31-R31)),(Datos!P31-Datos!Q31+R31)/(Datos!R31-Datos!P31+Datos!Q31-R31)," - ")</f>
        <v>-1.3602580283270228E-2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472.70281613393462</v>
      </c>
      <c r="G33" s="674">
        <f>IF(ISNUMBER(STDEV(G8:G30)),STDEV(G8:G30),"-")</f>
        <v>478.89963159607584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960.10531416387562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151.63772617656861</v>
      </c>
      <c r="BD33" s="673"/>
      <c r="BE33" s="673">
        <f>IF(ISNUMBER(STDEV(BE8:BE30)),STDEV(BE8:BE30),"-")</f>
        <v>0</v>
      </c>
      <c r="BF33" s="678">
        <f>IF(ISNUMBER(STDEV(BF8:BF30)),STDEV(BF8:BF30),"-")</f>
        <v>0</v>
      </c>
      <c r="BG33" s="1052">
        <f>IF(ISNUMBER(STDEV(BG8:BG30)),STDEV(BG8:BG30),"-")</f>
        <v>8.3922135584070634E-2</v>
      </c>
      <c r="BH33" s="1058">
        <f>IF(ISNUMBER(STDEV(BH8:BH30)),STDEV(BH8:BH30),"-")</f>
        <v>5.2506605022910859</v>
      </c>
      <c r="BI33" s="273">
        <f>IF(ISNUMBER(STDEV(BI8:BI30)),STDEV(BI8:BI30),"-")</f>
        <v>6.9365135921022572E-2</v>
      </c>
      <c r="BJ33" s="244" t="str">
        <f>IF(ISNUMBER(BL33/BM33),BL33/BM33," - ")</f>
        <v xml:space="preserve"> - </v>
      </c>
      <c r="BK33" s="709"/>
      <c r="BL33" s="681">
        <f>IF(ISNUMBER(STDEV(BL8:BL30)),STDEV(BL8:BL30),"-")</f>
        <v>1.3928297147670767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YemX93V+Y5smghBWmLFuBKNoOJhuITh20cUkZtoJiR3Ic59KvkVlBd1wi+41Wll6xqsM1TMX/G88ZvdJ1Qh3g==" saltValue="MwSB1SsMl9yG8QfYy4rd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TORREJON DE ARDOZ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551</v>
      </c>
      <c r="AA9" s="551" t="str">
        <f>IF(ISNUMBER(IF(J_V="SI",Datos!L9,Datos!L9+Datos!AB9)-IF(Monitorios="SI",Datos!CD9,0)),
                          IF(J_V="SI",Datos!L9,Datos!L9+Datos!AB9)-IF(Monitorios="SI",Datos!CD9,0),
                          " - ")</f>
        <v xml:space="preserve"> - </v>
      </c>
      <c r="AB9" s="549"/>
      <c r="AC9" s="549"/>
      <c r="AD9" s="563"/>
      <c r="AE9" s="563">
        <f>IF(ISNUMBER(Datos!R9),Datos!R9," - ")</f>
        <v>6594</v>
      </c>
      <c r="AF9" s="693" t="str">
        <f>IF(ISNUMBER(Datos!BV9),Datos!BV9," - ")</f>
        <v xml:space="preserve"> - </v>
      </c>
      <c r="AG9" s="552" t="str">
        <f>IF(ISNUMBER(Datos!DV9),Datos!DV9," - ")</f>
        <v xml:space="preserve"> - </v>
      </c>
      <c r="AH9" s="553"/>
      <c r="AI9" s="554"/>
      <c r="AJ9" s="552">
        <f>IF(ISNUMBER(Datos!M9),Datos!M9," - ")</f>
        <v>347</v>
      </c>
      <c r="AK9" s="693">
        <f>IF(ISNUMBER(Datos!N9),Datos!N9," - ")</f>
        <v>1111</v>
      </c>
      <c r="AL9" s="693" t="str">
        <f>IF(ISNUMBER(Datos!BW9),Datos!BW9," - ")</f>
        <v xml:space="preserve"> - </v>
      </c>
      <c r="AM9" s="762" t="str">
        <f>IF(ISNUMBER(Datos!BX9),Datos!BX9," - ")</f>
        <v xml:space="preserve"> - </v>
      </c>
      <c r="AN9" s="763"/>
      <c r="AO9" s="764">
        <f>IF(ISNUMBER(((NºAsuntos!I9/NºAsuntos!G9)*11)/factor_trimestre),((NºAsuntos!I9/NºAsuntos!G9)*11)/factor_trimestre," - ")</f>
        <v>6.098329355608592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-1.831174631531934E-2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130</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3</v>
      </c>
      <c r="AA10" s="551">
        <f>IF(ISNUMBER(Datos!L10),Datos!L10,"-")</f>
        <v>130</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11</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130</v>
      </c>
      <c r="G14" s="1197">
        <f>SUBTOTAL(9,G8:G13)</f>
        <v>130</v>
      </c>
      <c r="H14" s="1211"/>
      <c r="I14" s="1197">
        <f t="shared" ref="I14:N14" si="1">SUBTOTAL(9,I8:I13)</f>
        <v>0</v>
      </c>
      <c r="J14" s="1164">
        <f t="shared" si="1"/>
        <v>0</v>
      </c>
      <c r="K14" s="1211">
        <f t="shared" si="1"/>
        <v>0</v>
      </c>
      <c r="L14" s="1211">
        <f t="shared" si="1"/>
        <v>0</v>
      </c>
      <c r="M14" s="1211">
        <f t="shared" si="1"/>
        <v>0</v>
      </c>
      <c r="N14" s="1211">
        <f t="shared" si="1"/>
        <v>431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554</v>
      </c>
      <c r="AA14" s="1199">
        <f t="shared" si="3"/>
        <v>130</v>
      </c>
      <c r="AB14" s="1199">
        <f t="shared" si="3"/>
        <v>0</v>
      </c>
      <c r="AC14" s="1199">
        <f t="shared" si="3"/>
        <v>0</v>
      </c>
      <c r="AD14" s="1199">
        <f t="shared" si="3"/>
        <v>0</v>
      </c>
      <c r="AE14" s="1199">
        <f t="shared" si="3"/>
        <v>6679</v>
      </c>
      <c r="AF14" s="1211">
        <f t="shared" si="3"/>
        <v>0</v>
      </c>
      <c r="AG14" s="1211">
        <f t="shared" si="3"/>
        <v>0</v>
      </c>
      <c r="AH14" s="1211">
        <f t="shared" si="3"/>
        <v>0</v>
      </c>
      <c r="AI14" s="1211">
        <f t="shared" si="3"/>
        <v>0</v>
      </c>
      <c r="AJ14" s="1211">
        <f t="shared" si="3"/>
        <v>358</v>
      </c>
      <c r="AK14" s="1211">
        <f t="shared" si="3"/>
        <v>1131</v>
      </c>
      <c r="AL14" s="1211">
        <f t="shared" si="3"/>
        <v>0</v>
      </c>
      <c r="AM14" s="1211">
        <f t="shared" si="3"/>
        <v>0</v>
      </c>
      <c r="AN14" s="1211">
        <f t="shared" si="3"/>
        <v>0</v>
      </c>
      <c r="AO14" s="1203">
        <f>IF(ISNUMBER(((NºAsuntos!I14/NºAsuntos!G14)*11)/factor_trimestre),((NºAsuntos!I14/NºAsuntos!G14)*11)/factor_trimestre," - ")</f>
        <v>6.1058548009367684</v>
      </c>
      <c r="AP14" s="1213" t="str">
        <f>IF(ISNUMBER(Datos!CI14/Datos!CJ14),Datos!CI14/Datos!CJ14," - ")</f>
        <v xml:space="preserve"> - </v>
      </c>
      <c r="AQ14" s="1236">
        <f t="shared" ref="AQ14:AV14" si="4">SUBTOTAL(9,AQ9:AQ13)</f>
        <v>0</v>
      </c>
      <c r="AR14" s="1236">
        <f t="shared" si="4"/>
        <v>-1.831174631531934E-2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1011</v>
      </c>
      <c r="G16" s="552">
        <f>IF(ISNUMBER(IF(D_I="SI",Datos!I16,Datos!I16+Datos!AC16)),IF(D_I="SI",Datos!I16,Datos!I16+Datos!AC16)," - ")</f>
        <v>969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1919</v>
      </c>
      <c r="Z16" s="805">
        <f>IF(ISNUMBER(Datos!Q16),Datos!Q16," - ")</f>
        <v>44</v>
      </c>
      <c r="AA16" s="551">
        <f>IF(ISNUMBER(IF(D_I="SI",Datos!L16,Datos!L16+Datos!AF16)),IF(D_I="SI",Datos!L16,Datos!L16+Datos!AF16)," - ")</f>
        <v>1081</v>
      </c>
      <c r="AB16" s="549"/>
      <c r="AC16" s="549"/>
      <c r="AD16" s="563"/>
      <c r="AE16" s="563">
        <f>IF(ISNUMBER(Datos!R16),Datos!R16," - ")</f>
        <v>348</v>
      </c>
      <c r="AF16" s="693" t="str">
        <f>IF(ISNUMBER(Datos!BV16),Datos!BV16," - ")</f>
        <v xml:space="preserve"> - </v>
      </c>
      <c r="AG16" s="552"/>
      <c r="AH16" s="553"/>
      <c r="AI16" s="554"/>
      <c r="AJ16" s="552">
        <f>IF(ISNUMBER(Datos!M16),Datos!M16," - ")</f>
        <v>179</v>
      </c>
      <c r="AK16" s="693">
        <f>IF(ISNUMBER(Datos!N16),Datos!N16," - ")</f>
        <v>1074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1.1266284523189161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9</v>
      </c>
      <c r="G17" s="552">
        <f>IF(ISNUMBER(IF(D_I="SI",Datos!I17,Datos!I17+Datos!AC17)),IF(D_I="SI",Datos!I17,Datos!I17+Datos!AC17)," - ")</f>
        <v>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403</v>
      </c>
      <c r="Z18" s="805">
        <f>IF(ISNUMBER(Datos!Q18),Datos!Q18," - ")</f>
        <v>0</v>
      </c>
      <c r="AA18" s="551">
        <f>IF(ISNUMBER(Datos!L18),Datos!L18,"-")</f>
        <v>321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249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1.5930521091811414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1020</v>
      </c>
      <c r="G23" s="1197">
        <f>SUBTOTAL(9,G16:G22)</f>
        <v>1218</v>
      </c>
      <c r="H23" s="1240">
        <f>SUBTOTAL(9,H16:H22)</f>
        <v>0</v>
      </c>
      <c r="I23" s="1217">
        <f>SUBTOTAL(9,I16:I22)</f>
        <v>0</v>
      </c>
      <c r="J23" s="1164">
        <f>SUBTOTAL(9,J15:J22)</f>
        <v>0</v>
      </c>
      <c r="K23" s="1240">
        <f t="shared" ref="K23:S23" si="5">SUBTOTAL(9,K16:K22)</f>
        <v>0</v>
      </c>
      <c r="L23" s="1240">
        <f t="shared" si="5"/>
        <v>0</v>
      </c>
      <c r="M23" s="1240">
        <f t="shared" si="5"/>
        <v>0</v>
      </c>
      <c r="N23" s="1240">
        <f t="shared" si="5"/>
        <v>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2323</v>
      </c>
      <c r="Z23" s="1240">
        <f t="shared" si="6"/>
        <v>44</v>
      </c>
      <c r="AA23" s="1240">
        <f t="shared" si="6"/>
        <v>1410</v>
      </c>
      <c r="AB23" s="1240">
        <f t="shared" si="6"/>
        <v>0</v>
      </c>
      <c r="AC23" s="1240">
        <f t="shared" si="6"/>
        <v>0</v>
      </c>
      <c r="AD23" s="1240">
        <f t="shared" si="6"/>
        <v>0</v>
      </c>
      <c r="AE23" s="1240">
        <f t="shared" si="6"/>
        <v>355</v>
      </c>
      <c r="AF23" s="1240">
        <f t="shared" si="6"/>
        <v>0</v>
      </c>
      <c r="AG23" s="1240">
        <f t="shared" si="6"/>
        <v>0</v>
      </c>
      <c r="AH23" s="1240">
        <f t="shared" si="6"/>
        <v>0</v>
      </c>
      <c r="AI23" s="1240">
        <f t="shared" si="6"/>
        <v>0</v>
      </c>
      <c r="AJ23" s="1240">
        <f t="shared" si="6"/>
        <v>185</v>
      </c>
      <c r="AK23" s="1240">
        <f t="shared" si="6"/>
        <v>1323</v>
      </c>
      <c r="AL23" s="1240">
        <f t="shared" si="6"/>
        <v>0</v>
      </c>
      <c r="AM23" s="1240">
        <f t="shared" si="6"/>
        <v>0</v>
      </c>
      <c r="AN23" s="1240">
        <f t="shared" si="6"/>
        <v>0</v>
      </c>
      <c r="AO23" s="1242">
        <f>IF(ISNUMBER(((NºAsuntos!I23/NºAsuntos!G23)*11)/factor_trimestre),((NºAsuntos!I23/NºAsuntos!G23)*11)/factor_trimestre," - ")</f>
        <v>1.2139474817046922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1150</v>
      </c>
      <c r="G31" s="1117">
        <f t="shared" si="12"/>
        <v>1348</v>
      </c>
      <c r="H31" s="1118">
        <f t="shared" si="12"/>
        <v>0</v>
      </c>
      <c r="I31" s="1117">
        <f t="shared" si="12"/>
        <v>0</v>
      </c>
      <c r="J31" s="1119">
        <f t="shared" si="12"/>
        <v>0</v>
      </c>
      <c r="K31" s="1117">
        <f t="shared" si="12"/>
        <v>0</v>
      </c>
      <c r="L31" s="1120">
        <f t="shared" si="12"/>
        <v>0</v>
      </c>
      <c r="M31" s="1117">
        <f t="shared" si="12"/>
        <v>0</v>
      </c>
      <c r="N31" s="1118">
        <f t="shared" si="12"/>
        <v>501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2363</v>
      </c>
      <c r="Z31" s="1124">
        <f t="shared" si="13"/>
        <v>598</v>
      </c>
      <c r="AA31" s="1125">
        <f t="shared" si="13"/>
        <v>1540</v>
      </c>
      <c r="AB31" s="1125">
        <f t="shared" si="13"/>
        <v>0</v>
      </c>
      <c r="AC31" s="1125">
        <f t="shared" si="13"/>
        <v>0</v>
      </c>
      <c r="AD31" s="1126">
        <f t="shared" si="13"/>
        <v>0</v>
      </c>
      <c r="AE31" s="1126">
        <f t="shared" si="13"/>
        <v>7034</v>
      </c>
      <c r="AF31" s="1127">
        <f t="shared" si="13"/>
        <v>0</v>
      </c>
      <c r="AG31" s="1128">
        <f t="shared" si="13"/>
        <v>0</v>
      </c>
      <c r="AH31" s="1129">
        <f t="shared" si="13"/>
        <v>0</v>
      </c>
      <c r="AI31" s="1127">
        <f t="shared" si="13"/>
        <v>0</v>
      </c>
      <c r="AJ31" s="1117">
        <f t="shared" si="13"/>
        <v>543</v>
      </c>
      <c r="AK31" s="1117">
        <f t="shared" si="13"/>
        <v>2454</v>
      </c>
      <c r="AL31" s="1117">
        <f t="shared" si="13"/>
        <v>0</v>
      </c>
      <c r="AM31" s="1130">
        <f t="shared" si="13"/>
        <v>0</v>
      </c>
      <c r="AN31" s="1120">
        <f>IF(ISNUMBER(Datos!K31/Datos!J31),Datos!K31/Datos!J31," - ")</f>
        <v>0.87274984481688389</v>
      </c>
      <c r="AO31" s="1120">
        <f>IF(ISNUMBER(FIND("06",Criterios!A8,1)),(IF(ISNUMBER(((Datos!R31/Datos!Q31)*11)/factor_trimestre),((Datos!R31/Datos!Q31)*11)/factor_trimestre," - ")),(IF(ISNUMBER(((Datos!L31/Datos!K31)*11)/factor_trimestre),((Datos!L31/Datos!K31)*11)/factor_trimestre," - ")))</f>
        <v>3.6097676623992414</v>
      </c>
      <c r="AP31" s="1131" t="str">
        <f>IF(ISNUMBER(Datos!CI31/Datos!CJ31),Datos!CI31/Datos!CJ31," - ")</f>
        <v xml:space="preserve"> - </v>
      </c>
      <c r="AQ31" s="1131">
        <f>IF(OR(ISNUMBER(FIND("01",Criterios!A8,1)),ISNUMBER(FIND("02",Criterios!A8,1)),ISNUMBER(FIND("03",Criterios!A8,1)),ISNUMBER(FIND("04",Criterios!A8,1))),(J31-Y31+K31)/(F31-K31),(I31-Y31+K31)/(F31-K31))</f>
        <v>-2.054782608695652</v>
      </c>
      <c r="AR31" s="1131">
        <f>IF(ISNUMBER((Datos!P31-Datos!Q31+O31)/(Datos!R31-Datos!P31+Datos!Q31-O31)),(Datos!P31-Datos!Q31+O31)/(Datos!R31-Datos!P31+Datos!Q31-O31)," - ")</f>
        <v>-1.3602580283270228E-2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472.70281613393462</v>
      </c>
      <c r="G33" s="674">
        <f>IF(ISNUMBER(STDEV(G8:G30)),STDEV(G8:G30),"-")</f>
        <v>478.89963159607584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151.63772617656861</v>
      </c>
      <c r="AK33" s="276"/>
      <c r="AL33" s="276">
        <f>IF(ISNUMBER(STDEV(AL8:AL30)),STDEV(AL8:AL30),"-")</f>
        <v>0</v>
      </c>
      <c r="AM33" s="278">
        <f>IF(ISNUMBER(STDEV(AM8:AM30)),STDEV(AM8:AM30),"-")</f>
        <v>0</v>
      </c>
      <c r="AN33" s="660">
        <f>IF(ISNUMBER(STDEV(AN8:AN30)),STDEV(AN8:AN30),"-")</f>
        <v>0</v>
      </c>
      <c r="AO33" s="661">
        <f>IF(ISNUMBER(STDEV(AO8:AO30)),STDEV(AO8:AO30),"-")</f>
        <v>5.2398029796143986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nKx9gXwoZWeNZ8cKNGkol6NsTJEsQUGH4++NmKNADfco5gJd7chctFq+ppGtKhdx/Avcg4Lew81l7dy7zGJOg==" saltValue="DEzsyOaH4ksBkhY+Z+iT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NUfghvN70OOBZrxvWwpZiJYMQNAE9MrmpBXO4FnD3b8Wuvty1IbexwHUXffb0GRk0EUoCa9YzdesDLWZGYeeg==" saltValue="ogZ0OW9brQ7SSTdMUh2r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ZUCVFi+0a6kQBzp7TF049+ttm2XFyioJC1zAjXjny7OXN2B+4mqg9+hT5/dF8uErGdxj64FDjOnqzrAN4Ykw==" saltValue="sJlZbfZQj/vBVPkSU3XK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TORREJON DE ARDOZ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0.16768149882903982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0.11856872490153818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erwtI+o4c9NfUxq3wJlkyxYb4Xy8L7IrDrSM5ZYSTrHZOe4Y/nP/zG4nXZ1ZsavT3FuBH7OGn5VoNMEInOOEw==" saltValue="mIpzhW5/RVKEdf0Ak/ym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KD1AQvykT3OQbwiuNKbQBuuB9AL1zX+L5yUbD4VhgPxTPDEWbZLTRby6E5fohoyfVq3SekVA8GJtpChClNM+Ww==" saltValue="ND48GtcYDI4XqDI83HAN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TORREJON DE ARDOZ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5926</v>
      </c>
      <c r="D9" s="452">
        <f>IF(ISNUMBER(C9/Datos!BH9),C9/Datos!BH9," - ")</f>
        <v>987.66666666666663</v>
      </c>
      <c r="E9" s="451">
        <f>IF(ISNUMBER(IF(J_V="SI",Datos!J9,Datos!J9+Datos!Z9)),IF(J_V="SI",Datos!J9,Datos!J9+Datos!Z9)," - ")</f>
        <v>2544</v>
      </c>
      <c r="F9" s="452">
        <f>IF(ISNUMBER(E9/B9),E9/B9," - ")</f>
        <v>424</v>
      </c>
      <c r="G9" s="451">
        <f>IF(ISNUMBER(IF(J_V="SI",Datos!K9,Datos!K9+Datos!AA9)),IF(J_V="SI",Datos!K9,Datos!K9+Datos!AA9)," - ")</f>
        <v>2095</v>
      </c>
      <c r="H9" s="452">
        <f>IF(ISNUMBER(G9/B9),G9/B9," - ")</f>
        <v>349.16666666666669</v>
      </c>
      <c r="I9" s="451">
        <f>IF(ISNUMBER(IF(J_V="SI",Datos!L9,Datos!L9+Datos!AB9)),IF(J_V="SI",Datos!L9,Datos!L9+Datos!AB9)," - ")</f>
        <v>6388</v>
      </c>
      <c r="J9" s="452">
        <f>IF(ISNUMBER(I9/B9),I9/B9," - ")</f>
        <v>1064.6666666666667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130</v>
      </c>
      <c r="D10" s="452">
        <f>IF(ISNUMBER(C10/Datos!BH10),C10/Datos!BH10," - ")</f>
        <v>130</v>
      </c>
      <c r="E10" s="451">
        <f>IF(ISNUMBER(Datos!J10),Datos!J10," - ")</f>
        <v>40</v>
      </c>
      <c r="F10" s="452">
        <f>IF(ISNUMBER(E10/B10),E10/B10," - ")</f>
        <v>40</v>
      </c>
      <c r="G10" s="451">
        <f>IF(ISNUMBER(Datos!K10),Datos!K10," - ")</f>
        <v>40</v>
      </c>
      <c r="H10" s="452">
        <f>IF(ISNUMBER(G10/B10),G10/B10," - ")</f>
        <v>40</v>
      </c>
      <c r="I10" s="451">
        <f>IF(ISNUMBER(Datos!L10),Datos!L10," - ")</f>
        <v>130</v>
      </c>
      <c r="J10" s="452">
        <f>IF(ISNUMBER(I10/B10),I10/B10," - ")</f>
        <v>130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6056</v>
      </c>
      <c r="D14" s="1147" t="str">
        <f>IF(ISNUMBER(C14/Datos!BI14),C14/Datos!BI14," - ")</f>
        <v xml:space="preserve"> - </v>
      </c>
      <c r="E14" s="1146">
        <f>SUBTOTAL(9,E8:E13)</f>
        <v>2584</v>
      </c>
      <c r="F14" s="1147">
        <f>IF(ISNUMBER(E14/B14),E14/B14," - ")</f>
        <v>369.14285714285717</v>
      </c>
      <c r="G14" s="1146">
        <f>SUBTOTAL(9,G8:G13)</f>
        <v>2135</v>
      </c>
      <c r="H14" s="1147">
        <f>IF(ISNUMBER(G14/B14),G14/B14," - ")</f>
        <v>305</v>
      </c>
      <c r="I14" s="1146">
        <f>SUBTOTAL(9,I8:I13)</f>
        <v>6518</v>
      </c>
      <c r="J14" s="1147">
        <f>IF(ISNUMBER(I14/B14),I14/B14," - ")</f>
        <v>931.14285714285711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969</v>
      </c>
      <c r="D16" s="452">
        <f>IF(ISNUMBER(C16/Datos!BH16),C16/Datos!BH16," - ")</f>
        <v>242.25</v>
      </c>
      <c r="E16" s="451">
        <f>IF(ISNUMBER(IF(D_I="SI",Datos!J16,Datos!J16+Datos!AD16)),IF(D_I="SI",Datos!J16,Datos!J16+Datos!AD16)," - ")</f>
        <v>1989</v>
      </c>
      <c r="F16" s="452">
        <f>IF(ISNUMBER(E16/B16),E16/B16," - ")</f>
        <v>497.25</v>
      </c>
      <c r="G16" s="451">
        <f>IF(ISNUMBER(IF(D_I="SI",Datos!K16,Datos!K16+Datos!AE16)),IF(D_I="SI",Datos!K16,Datos!K16+Datos!AE16)," - ")</f>
        <v>1919</v>
      </c>
      <c r="H16" s="452">
        <f>IF(ISNUMBER(G16/B16),G16/B16," - ")</f>
        <v>479.75</v>
      </c>
      <c r="I16" s="451">
        <f>IF(ISNUMBER(IF(D_I="SI",Datos!L16,Datos!L16+Datos!AF16)),IF(D_I="SI",Datos!L16,Datos!L16+Datos!AF16)," - ")</f>
        <v>1081</v>
      </c>
      <c r="J16" s="452">
        <f>IF(ISNUMBER(I16/B16),I16/B16," - ")</f>
        <v>270.25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9</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240</v>
      </c>
      <c r="D18" s="452">
        <f>IF(ISNUMBER(C18/Datos!BH18),C18/Datos!BH18," - ")</f>
        <v>240</v>
      </c>
      <c r="E18" s="451">
        <f>IF(ISNUMBER(IF(D_I="SI",Datos!J18,Datos!J18+Datos!AD18)),IF(D_I="SI",Datos!J18,Datos!J18+Datos!AD18)," - ")</f>
        <v>483</v>
      </c>
      <c r="F18" s="452">
        <f>IF(ISNUMBER(E18/B18),E18/B18," - ")</f>
        <v>483</v>
      </c>
      <c r="G18" s="451">
        <f>IF(ISNUMBER(IF(D_I="SI",Datos!K18,Datos!K18+Datos!AE18)),IF(D_I="SI",Datos!K18,Datos!K18+Datos!AE18)," - ")</f>
        <v>403</v>
      </c>
      <c r="H18" s="452">
        <f>IF(ISNUMBER(G18/B18),G18/B18," - ")</f>
        <v>403</v>
      </c>
      <c r="I18" s="451">
        <f>IF(ISNUMBER(IF(D_I="SI",Datos!L18,Datos!L18+Datos!AF18)),IF(D_I="SI",Datos!L18,Datos!L18+Datos!AF18)," - ")</f>
        <v>321</v>
      </c>
      <c r="J18" s="452">
        <f>IF(ISNUMBER(I18/B18),I18/B18," - ")</f>
        <v>321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1218</v>
      </c>
      <c r="D23" s="1147" t="str">
        <f>IF(ISNUMBER(C23/Datos!BI23),C23/Datos!BI23," - ")</f>
        <v xml:space="preserve"> - </v>
      </c>
      <c r="E23" s="1146">
        <f>SUBTOTAL(9,E15:E22)</f>
        <v>2472</v>
      </c>
      <c r="F23" s="1147">
        <f>IF(ISNUMBER(E23/B23),E23/B23," - ")</f>
        <v>494.4</v>
      </c>
      <c r="G23" s="1146">
        <f>SUBTOTAL(9,G15:G22)</f>
        <v>2323</v>
      </c>
      <c r="H23" s="1147">
        <f>IF(ISNUMBER(G23/B23),G23/B23," - ")</f>
        <v>464.6</v>
      </c>
      <c r="I23" s="1146">
        <f>SUBTOTAL(9,I15:I22)</f>
        <v>1410</v>
      </c>
      <c r="J23" s="1147">
        <f>IF(ISNUMBER(I23/B23),I23/B23," - ")</f>
        <v>282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7274</v>
      </c>
      <c r="D31" s="1085" t="str">
        <f>IF(ISNUMBER(C31/Datos!BI31),C31/Datos!BI31," - ")</f>
        <v xml:space="preserve"> - </v>
      </c>
      <c r="E31" s="1084">
        <f>SUBTOTAL(9,E9:E30)</f>
        <v>5056</v>
      </c>
      <c r="F31" s="1085">
        <f>IF(ISNUMBER(E31/B31),E31/B31," - ")</f>
        <v>459.63636363636363</v>
      </c>
      <c r="G31" s="1084">
        <f>SUBTOTAL(9,G9:G30)</f>
        <v>4458</v>
      </c>
      <c r="H31" s="1085">
        <f>IF(ISNUMBER(G31/B31),G31/B31," - ")</f>
        <v>405.27272727272725</v>
      </c>
      <c r="I31" s="1084">
        <f>SUBTOTAL(9,I9:I30)</f>
        <v>7928</v>
      </c>
      <c r="J31" s="1085">
        <f>IF(ISNUMBER(I31/B31),I31/B31," - ")</f>
        <v>720.72727272727275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CsDZoseR+rT/uSoGhzfZ61BSLo4YvjSLh6wGgoyqZt9zf9tKQGsxs8x4oq/Ll15tQEEWUmluA7l3VXhcycRCg==" saltValue="vt0HFyuTo98PoLsalOzX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TORREJON DE ARDOZ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130</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130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130</v>
      </c>
      <c r="G14" s="1256">
        <f t="shared" si="0"/>
        <v>130</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0</v>
      </c>
      <c r="AE14" s="1257">
        <f t="shared" si="1"/>
        <v>0</v>
      </c>
      <c r="AF14" s="1257">
        <f t="shared" si="1"/>
        <v>130</v>
      </c>
      <c r="AG14" s="1257">
        <f t="shared" si="1"/>
        <v>0</v>
      </c>
      <c r="AH14" s="1257">
        <f t="shared" si="1"/>
        <v>0</v>
      </c>
      <c r="AI14" s="1257">
        <f t="shared" si="1"/>
        <v>0</v>
      </c>
      <c r="AJ14" s="1257">
        <f t="shared" si="1"/>
        <v>0</v>
      </c>
      <c r="AK14" s="1257">
        <f t="shared" si="1"/>
        <v>0</v>
      </c>
      <c r="AL14" s="1257">
        <f t="shared" si="1"/>
        <v>11</v>
      </c>
      <c r="AM14" s="1257">
        <f t="shared" si="1"/>
        <v>20</v>
      </c>
      <c r="AN14" s="1257">
        <f t="shared" si="1"/>
        <v>0</v>
      </c>
      <c r="AO14" s="1257">
        <f t="shared" si="1"/>
        <v>0</v>
      </c>
      <c r="AP14" s="1262">
        <f>IF(ISNUMBER(((Datos!L14/Datos!K14)*11)/factor_trimestre),((Datos!L14/Datos!K14)*11)/factor_trimestre," - ")</f>
        <v>6.5467018469656999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-0.30769230769230771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1.2139474817046922</v>
      </c>
      <c r="AQ23" s="1262">
        <f>IF(ISNUMBER(((Datos!M23/Datos!L23)*11)/factor_trimestre),((Datos!M23/Datos!L23)*11)/factor_trimestre," - ")</f>
        <v>0.26241134751773049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7.9027355623100301E-2</v>
      </c>
      <c r="AW23" s="1265">
        <f>IF(ISNUMBER((Datos!Q23-Datos!R23)/(Datos!S23-Datos!Q23+Datos!R23)),(Datos!Q23-Datos!R23)/(Datos!S23-Datos!Q23+Datos!R23)," - ")</f>
        <v>-0.19974309569685292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130</v>
      </c>
      <c r="G31" s="1278">
        <f t="shared" si="8"/>
        <v>130</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0</v>
      </c>
      <c r="AE31" s="1284">
        <f t="shared" si="9"/>
        <v>0</v>
      </c>
      <c r="AF31" s="1285">
        <f t="shared" si="9"/>
        <v>130</v>
      </c>
      <c r="AG31" s="1285">
        <f t="shared" si="9"/>
        <v>0</v>
      </c>
      <c r="AH31" s="1285">
        <f t="shared" si="9"/>
        <v>0</v>
      </c>
      <c r="AI31" s="1285">
        <f t="shared" si="9"/>
        <v>0</v>
      </c>
      <c r="AJ31" s="1286">
        <f t="shared" si="9"/>
        <v>0</v>
      </c>
      <c r="AK31" s="1286">
        <f t="shared" si="9"/>
        <v>0</v>
      </c>
      <c r="AL31" s="1278">
        <f t="shared" si="9"/>
        <v>11</v>
      </c>
      <c r="AM31" s="1278">
        <f t="shared" si="9"/>
        <v>20</v>
      </c>
      <c r="AN31" s="1278">
        <f t="shared" si="9"/>
        <v>0</v>
      </c>
      <c r="AO31" s="1278">
        <f t="shared" si="9"/>
        <v>0</v>
      </c>
      <c r="AP31" s="1278">
        <f>IF(ISNUMBER(((Datos!L31/Datos!K31)*11)/factor_trimestre),((Datos!L31/Datos!K31)*11)/factor_trimestre," - ")</f>
        <v>3.6097676623992414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-0.30769230769230771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-1.3602580283270228E-2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71.203932475671593</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3.0654744442173083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KikR6Tp8mcdkq27mZb31qsRQQ8SUVI3HwsptUQTYHPDcLCEkhgrOsbTZP+bv1bT1f/Pl+Pc7PhmKN44R0jOlw==" saltValue="mtTPRuNQkD4a2U0dn8Cy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TORREJON DE ARDOZ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hHBt1k3PSFe88IvqEaWM4eykvtV7pznLKC8UKYxQVfSLQk1vY9tE+V1Monwo16mGmVKodfPEdq2wQsCtFLbhw==" saltValue="/Ts1WER2vWNhSIbKqeDd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TORREJON DE ARDOZ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347</v>
      </c>
      <c r="E9" s="452">
        <f t="shared" ref="E9:E14" si="0">IF(ISNUMBER(D9/B9),D9/B9," - ")</f>
        <v>57.833333333333336</v>
      </c>
      <c r="F9" s="451">
        <f>IF(ISNUMBER(Datos!N9),Datos!N9," - ")</f>
        <v>1111</v>
      </c>
      <c r="G9" s="452">
        <f t="shared" ref="G9:G14" si="1">IF(ISNUMBER(F9/B9),F9/B9," - ")</f>
        <v>185.16666666666666</v>
      </c>
      <c r="H9" s="451">
        <f>IF(ISNUMBER(Datos!O9),Datos!O9," - ")</f>
        <v>726</v>
      </c>
      <c r="I9" s="452">
        <f>IF(ISNUMBER(H9/B9),H9/B9," - ")</f>
        <v>121</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20</v>
      </c>
      <c r="G10" s="452">
        <f>IF(ISNUMBER(F10/B10),F10/B10," - ")</f>
        <v>20</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358</v>
      </c>
      <c r="E14" s="1147">
        <f t="shared" si="0"/>
        <v>51.142857142857146</v>
      </c>
      <c r="F14" s="1146">
        <f>SUBTOTAL(9,F9:F13)</f>
        <v>1131</v>
      </c>
      <c r="G14" s="1147">
        <f t="shared" si="1"/>
        <v>161.57142857142858</v>
      </c>
      <c r="H14" s="1146">
        <f>SUBTOTAL(9,H9:H13)</f>
        <v>733</v>
      </c>
      <c r="I14" s="1147">
        <f>IF(ISNUMBER(H14/B14),H14/B14," - ")</f>
        <v>104.71428571428571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179</v>
      </c>
      <c r="E16" s="452">
        <f t="shared" ref="E16:E23" si="3">IF(ISNUMBER(D16/B16),D16/B16," - ")</f>
        <v>44.75</v>
      </c>
      <c r="F16" s="451">
        <f>IF(ISNUMBER(Datos!N16),Datos!N16," - ")</f>
        <v>1074</v>
      </c>
      <c r="G16" s="452">
        <f t="shared" ref="G16:G23" si="4">IF(ISNUMBER(F16/B16),F16/B16," - ")</f>
        <v>268.5</v>
      </c>
      <c r="H16" s="451">
        <f>IF(ISNUMBER(Datos!O16),Datos!O16," - ")</f>
        <v>16</v>
      </c>
      <c r="I16" s="452">
        <f t="shared" ref="I16:I22" si="5">IF(ISNUMBER(H16/B16),H16/B16," - ")</f>
        <v>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249</v>
      </c>
      <c r="G18" s="452">
        <f>IF(ISNUMBER(F18/B18),F18/B18," - ")</f>
        <v>249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185</v>
      </c>
      <c r="E23" s="1147">
        <f t="shared" si="3"/>
        <v>37</v>
      </c>
      <c r="F23" s="1146">
        <f>SUBTOTAL(9,F16:F22)</f>
        <v>1323</v>
      </c>
      <c r="G23" s="1147">
        <f t="shared" si="4"/>
        <v>264.60000000000002</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543</v>
      </c>
      <c r="E31" s="1085">
        <f>IF(ISNUMBER(D31/B31),D31/B31," - ")</f>
        <v>49.363636363636367</v>
      </c>
      <c r="F31" s="1084">
        <f>SUBTOTAL(9,F8:F30)</f>
        <v>2454</v>
      </c>
      <c r="G31" s="1085">
        <f>IF(ISNUMBER(F31/B31),F31/B31," - ")</f>
        <v>223.09090909090909</v>
      </c>
      <c r="H31" s="1084">
        <f>SUBTOTAL(9,H8:H30)</f>
        <v>749</v>
      </c>
      <c r="I31" s="1085">
        <f>IF(ISNUMBER(H31/B31),H31/B31," - ")</f>
        <v>68.090909090909093</v>
      </c>
    </row>
    <row r="34" spans="1:1">
      <c r="A34" s="439" t="str">
        <f>Criterios!A4</f>
        <v>Fecha Informe: 06 may. 2023</v>
      </c>
    </row>
    <row r="39" spans="1:1">
      <c r="A39" s="462"/>
    </row>
  </sheetData>
  <sheetProtection algorithmName="SHA-512" hashValue="+4y5XQU7unzxaBgh9zyCTrXzEr0vtEmUxbLC+2CmB8S6QWB9UHR4N5Ojeyjkd2C87iWRl3771EA353Y3/xzMxg==" saltValue="X8iYlA3J8ubL27sX8bt3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TORREJON DE ARDOZ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428</v>
      </c>
      <c r="C9" s="489">
        <f>IF(ISNUMBER(Datos!Q9),Datos!Q9," - ")</f>
        <v>551</v>
      </c>
      <c r="D9" s="456">
        <f>IF(ISNUMBER(Datos!R9),Datos!R9," - ")</f>
        <v>6594</v>
      </c>
    </row>
    <row r="10" spans="1:4">
      <c r="A10" s="450" t="str">
        <f>Datos!A10</f>
        <v>Jdos. Violencia contra la mujer</v>
      </c>
      <c r="B10" s="488">
        <f>IF(ISNUMBER(Datos!P10),Datos!P10," - ")</f>
        <v>3</v>
      </c>
      <c r="C10" s="489">
        <f>IF(ISNUMBER(Datos!Q10),Datos!Q10," - ")</f>
        <v>3</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431</v>
      </c>
      <c r="C14" s="1150">
        <f>SUBTOTAL(9,C9:C13)</f>
        <v>554</v>
      </c>
      <c r="D14" s="1148">
        <f>SUBTOTAL(9,D9:D13)</f>
        <v>6679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v>
      </c>
      <c r="C16" s="489">
        <f>IF(ISNUMBER(Datos!Q16),Datos!Q16," - ")</f>
        <v>44</v>
      </c>
      <c r="D16" s="456">
        <f>IF(ISNUMBER(Datos!R16),Datos!R16," - ")</f>
        <v>348</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v>
      </c>
      <c r="C23" s="1150">
        <f>SUBTOTAL(9,C16:C22)</f>
        <v>44</v>
      </c>
      <c r="D23" s="1148">
        <f>SUBTOTAL(9,D16:D22)</f>
        <v>355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501</v>
      </c>
      <c r="C31" s="1089">
        <f>SUBTOTAL(9,C8:C30)</f>
        <v>598</v>
      </c>
      <c r="D31" s="1090">
        <f>SUBTOTAL(9,D8:D30)</f>
        <v>7034</v>
      </c>
    </row>
    <row r="32" spans="1:4" ht="7.5" customHeight="1"/>
    <row r="33" spans="1:1" ht="6" customHeight="1"/>
    <row r="34" spans="1:1">
      <c r="A34" s="439" t="str">
        <f>Criterios!A4</f>
        <v>Fecha Informe: 06 may. 2023</v>
      </c>
    </row>
    <row r="39" spans="1:1">
      <c r="A39" s="462"/>
    </row>
  </sheetData>
  <sheetProtection algorithmName="SHA-512" hashValue="4Ks141gW33LSVnXzoo18tmK6QkUYW9toisugRYlo9To0jPJP6kyAsNmqJ2FKc3mNuUFV1ioMYafDcI6bs4g9fw==" saltValue="Y1OV+T8oVTt4f2Lp4aJQ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TORREJON DE ARDOZ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0.5529350104821803</v>
      </c>
      <c r="C9" s="515">
        <f>IF(ISNUMBER(
   IF(J_V="SI",(Datos!J9-Datos!T9)/Datos!T9,(Datos!J9+Datos!Z9-(Datos!T9+Datos!AH9))/(Datos!T9+Datos!AH9))
     ),IF(J_V="SI",(Datos!J9-Datos!T9)/Datos!T9,(Datos!J9+Datos!Z9-(Datos!T9+Datos!AH9))/(Datos!T9+Datos!AH9))," - ")</f>
        <v>0.12715994683207799</v>
      </c>
      <c r="D9" s="515">
        <f>IF(ISNUMBER(
   IF(J_V="SI",(Datos!K9-Datos!U9)/Datos!U9,(Datos!K9+Datos!AA9-(Datos!U9+Datos!AI9))/(Datos!U9+Datos!AI9))
     ),IF(J_V="SI",(Datos!K9-Datos!U9)/Datos!U9,(Datos!K9+Datos!AA9-(Datos!U9+Datos!AI9))/(Datos!U9+Datos!AI9))," - ")</f>
        <v>5.2235057759919636E-2</v>
      </c>
      <c r="E9" s="515">
        <f>IF(ISNUMBER(
   IF(J_V="SI",(Datos!L9-Datos!V9)/Datos!V9,(Datos!L9+Datos!AB9-(Datos!V9+Datos!AJ9))/(Datos!V9+Datos!AJ9))
     ),IF(J_V="SI",(Datos!L9-Datos!V9)/Datos!V9,(Datos!L9+Datos!AB9-(Datos!V9+Datos!AJ9))/(Datos!V9+Datos!AJ9))," - ")</f>
        <v>0.56491915727584519</v>
      </c>
      <c r="F9" s="515">
        <f>IF(ISNUMBER((Datos!M9-Datos!W9)/Datos!W9),(Datos!M9-Datos!W9)/Datos!W9," - ")</f>
        <v>3.5820895522388062E-2</v>
      </c>
      <c r="G9" s="516">
        <f>IF(ISNUMBER((Datos!N9-Datos!X9)/Datos!X9),(Datos!N9-Datos!X9)/Datos!X9," - ")</f>
        <v>2.7752081406105456E-2</v>
      </c>
      <c r="H9" s="514">
        <f>IF(ISNUMBER(((NºAsuntos!G9/NºAsuntos!E9)-Datos!BD9)/Datos!BD9),((NºAsuntos!G9/NºAsuntos!E9)-Datos!BD9)/Datos!BD9," - ")</f>
        <v>-6.6472277765668705E-2</v>
      </c>
      <c r="I9" s="515">
        <f>IF(ISNUMBER(((NºAsuntos!I9/NºAsuntos!G9)-Datos!BE9)/Datos!BE9),((NºAsuntos!I9/NºAsuntos!G9)-Datos!BE9)/Datos!BE9," - ")</f>
        <v>0.4872334330005767</v>
      </c>
      <c r="J9" s="521">
        <f>IF(ISNUMBER((('Resol  Asuntos'!D9/NºAsuntos!G9)-Datos!BF9)/Datos!BF9),(('Resol  Asuntos'!D9/NºAsuntos!G9)-Datos!BF9)/Datos!BF9," - ")</f>
        <v>-0.69493596267930124</v>
      </c>
      <c r="K9" s="522">
        <f>IF(ISNUMBER((((NºAsuntos!C9+NºAsuntos!E9)/NºAsuntos!G9)-Datos!BG9)/Datos!BG9),(((NºAsuntos!C9+NºAsuntos!E9)/NºAsuntos!G9)-Datos!BG9)/Datos!BG9," - ")</f>
        <v>0.32546224593617751</v>
      </c>
    </row>
    <row r="10" spans="1:11">
      <c r="A10" s="450" t="str">
        <f>Datos!A10</f>
        <v>Jdos. Violencia contra la mujer</v>
      </c>
      <c r="B10" s="514">
        <f>IF(ISNUMBER((Datos!I10-Datos!S10)/Datos!S10),(Datos!I10-Datos!S10)/Datos!S10," - ")</f>
        <v>0.4606741573033708</v>
      </c>
      <c r="C10" s="515">
        <f>IF(ISNUMBER((Datos!J10-Datos!T10)/Datos!T10),(Datos!J10-Datos!T10)/Datos!T10," - ")</f>
        <v>0.42857142857142855</v>
      </c>
      <c r="D10" s="515">
        <f>IF(ISNUMBER((Datos!K10-Datos!U10)/Datos!U10),(Datos!K10-Datos!U10)/Datos!U10," - ")</f>
        <v>0.73913043478260865</v>
      </c>
      <c r="E10" s="515">
        <f>IF(ISNUMBER((Datos!L10-Datos!V10)/Datos!V10),(Datos!L10-Datos!V10)/Datos!V10," - ")</f>
        <v>0.38297872340425532</v>
      </c>
      <c r="F10" s="515">
        <f>IF(ISNUMBER((Datos!M10-Datos!W10)/Datos!W10),(Datos!M10-Datos!W10)/Datos!W10," - ")</f>
        <v>0.83333333333333337</v>
      </c>
      <c r="G10" s="516">
        <f>IF(ISNUMBER((Datos!N10-Datos!X10)/Datos!X10),(Datos!N10-Datos!X10)/Datos!X10," - ")</f>
        <v>1.8571428571428572</v>
      </c>
      <c r="H10" s="514">
        <f>IF(ISNUMBER(((NºAsuntos!G10/NºAsuntos!E10)-Datos!BD10)/Datos!BD10),((NºAsuntos!G10/NºAsuntos!E10)-Datos!BD10)/Datos!BD10," - ")</f>
        <v>0.21739130434782614</v>
      </c>
      <c r="I10" s="515">
        <f>IF(ISNUMBER(((NºAsuntos!I10/NºAsuntos!G10)-Datos!BE10)/Datos!BE10),((NºAsuntos!I10/NºAsuntos!G10)-Datos!BE10)/Datos!BE10," - ")</f>
        <v>-0.20478723404255328</v>
      </c>
      <c r="J10" s="521">
        <f>IF(ISNUMBER((('Resol  Asuntos'!D10/NºAsuntos!G10)-Datos!BF10)/Datos!BF10),(('Resol  Asuntos'!D10/NºAsuntos!G10)-Datos!BF10)/Datos!BF10," - ")</f>
        <v>5.416666666666678E-2</v>
      </c>
      <c r="K10" s="522">
        <f>IF(ISNUMBER((((NºAsuntos!C10+NºAsuntos!E10)/NºAsuntos!G10)-Datos!BG10)/Datos!BG10),(((NºAsuntos!C10+NºAsuntos!E10)/NºAsuntos!G10)-Datos!BG10)/Datos!BG10," - ")</f>
        <v>-0.16452991452991458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0.55083226632522408</v>
      </c>
      <c r="C14" s="1152">
        <f>IF(ISNUMBER(
   IF(J_V="SI",(Datos!J14-Datos!T14)/Datos!T14,(Datos!J14+Datos!Z14-(Datos!T14+Datos!AH14))/(Datos!T14+Datos!AH14))
     ),IF(J_V="SI",(Datos!J14-Datos!T14)/Datos!T14,(Datos!J14+Datos!Z14-(Datos!T14+Datos!AH14))/(Datos!T14+Datos!AH14))," - ")</f>
        <v>0.13085339168490154</v>
      </c>
      <c r="D14" s="1152">
        <f>IF(ISNUMBER(
   IF(J_V="SI",(Datos!K14-Datos!U14)/Datos!U14,(Datos!K14+Datos!AA14-(Datos!U14+Datos!AI14))/(Datos!U14+Datos!AI14))
     ),IF(J_V="SI",(Datos!K14-Datos!U14)/Datos!U14,(Datos!K14+Datos!AA14-(Datos!U14+Datos!AI14))/(Datos!U14+Datos!AI14))," - ")</f>
        <v>6.0079443892750745E-2</v>
      </c>
      <c r="E14" s="1152">
        <f>IF(ISNUMBER(
   IF(J_V="SI",(Datos!L14-Datos!V14)/Datos!V14,(Datos!L14+Datos!AB14-(Datos!V14+Datos!AJ14))/(Datos!V14+Datos!AJ14))
     ),IF(J_V="SI",(Datos!L14-Datos!V14)/Datos!V14,(Datos!L14+Datos!AB14-(Datos!V14+Datos!AJ14))/(Datos!V14+Datos!AJ14))," - ")</f>
        <v>0.56082375478927204</v>
      </c>
      <c r="F14" s="1153">
        <f>IF(ISNUMBER((Datos!M14-Datos!W14)/Datos!W14),(Datos!M14-Datos!W14)/Datos!W14," - ")</f>
        <v>4.9853372434017593E-2</v>
      </c>
      <c r="G14" s="1154">
        <f>IF(ISNUMBER((Datos!N14-Datos!X14)/Datos!X14),(Datos!N14-Datos!X14)/Datos!X14," - ")</f>
        <v>3.952205882352941E-2</v>
      </c>
      <c r="H14" s="1154">
        <f>IF(ISNUMBER(((NºAsuntos!G14/NºAsuntos!E14)-Datos!BD14)/Datos!BD14),((NºAsuntos!G14/NºAsuntos!E14)-Datos!BD14)/Datos!BD14," - ")</f>
        <v>-6.2584547486480069E-2</v>
      </c>
      <c r="I14" s="1154">
        <f>IF(ISNUMBER(((NºAsuntos!I14/NºAsuntos!G14)-Datos!BE14)/Datos!BE14),((NºAsuntos!I14/NºAsuntos!G14)-Datos!BE14)/Datos!BE14," - ")</f>
        <v>0.47236489093470446</v>
      </c>
      <c r="J14" s="1154">
        <f>IF(ISNUMBER((('Resol  Asuntos'!D14/NºAsuntos!G14)-Datos!BF14)/Datos!BF14),(('Resol  Asuntos'!D14/NºAsuntos!G14)-Datos!BF14)/Datos!BF14," - ")</f>
        <v>-0.68931873170038072</v>
      </c>
      <c r="K14" s="1154">
        <f>IF(ISNUMBER((((NºAsuntos!C14+NºAsuntos!E14)/NºAsuntos!G14)-Datos!BG14)/Datos!BG14),(((NºAsuntos!C14+NºAsuntos!E14)/NºAsuntos!G14)-Datos!BG14)/Datos!BG14," - ")</f>
        <v>0.31669346570164919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-9.6924510717614168E-2</v>
      </c>
      <c r="C16" s="515">
        <f>IF(ISNUMBER(
   IF(D_I="SI",(Datos!J16-Datos!T16)/Datos!T16,(Datos!J16+Datos!AD16-(Datos!T16+Datos!AL16))/(Datos!T16+Datos!AL16))
     ),IF(D_I="SI",(Datos!J16-Datos!T16)/Datos!T16,(Datos!J16+Datos!AD16-(Datos!T16+Datos!AL16))/(Datos!T16+Datos!AL16))," - ")</f>
        <v>-1.9714144898965006E-2</v>
      </c>
      <c r="D16" s="515">
        <f>IF(ISNUMBER(
   IF(D_I="SI",(Datos!K16-Datos!U16)/Datos!U16,(Datos!K16+Datos!AE16-(Datos!U16+Datos!AM16))/(Datos!U16+Datos!AM16))
     ),IF(D_I="SI",(Datos!K16-Datos!U16)/Datos!U16,(Datos!K16+Datos!AE16-(Datos!U16+Datos!AM16))/(Datos!U16+Datos!AM16))," - ")</f>
        <v>-2.1916411824668705E-2</v>
      </c>
      <c r="E16" s="515">
        <f>IF(ISNUMBER(
   IF(D_I="SI",(Datos!L16-Datos!V16)/Datos!V16,(Datos!L16+Datos!AF16-(Datos!V16+Datos!AN16))/(Datos!V16+Datos!AN16))
     ),IF(D_I="SI",(Datos!L16-Datos!V16)/Datos!V16,(Datos!L16+Datos!AF16-(Datos!V16+Datos!AN16))/(Datos!V16+Datos!AN16))," - ")</f>
        <v>-8.3121289228159451E-2</v>
      </c>
      <c r="F16" s="515">
        <f>IF(ISNUMBER((Datos!M16-Datos!W16)/Datos!W16),(Datos!M16-Datos!W16)/Datos!W16," - ")</f>
        <v>-4.2780748663101602E-2</v>
      </c>
      <c r="G16" s="516">
        <f>IF(ISNUMBER((Datos!N16-Datos!X16)/Datos!X16),(Datos!N16-Datos!X16)/Datos!X16," - ")</f>
        <v>-9.6719932716568549E-2</v>
      </c>
      <c r="H16" s="514">
        <f>IF(ISNUMBER(((NºAsuntos!G16/NºAsuntos!E16)-Datos!BD16)/Datos!BD16),((NºAsuntos!G16/NºAsuntos!E16)-Datos!BD16)/Datos!BD16," - ")</f>
        <v>-2.2465558533196093E-3</v>
      </c>
      <c r="I16" s="515">
        <f>IF(ISNUMBER(((NºAsuntos!I16/NºAsuntos!G16)-Datos!BE16)/Datos!BE16),((NºAsuntos!I16/NºAsuntos!G16)-Datos!BE16)/Datos!BE16," - ")</f>
        <v>-6.2576325933115559E-2</v>
      </c>
      <c r="J16" s="521">
        <f>IF(ISNUMBER((('Resol  Asuntos'!D16/NºAsuntos!G16)-Datos!BF16)/Datos!BF16),(('Resol  Asuntos'!D16/NºAsuntos!G16)-Datos!BF16)/Datos!BF16," - ")</f>
        <v>-2.133185454768393E-2</v>
      </c>
      <c r="K16" s="522">
        <f>IF(ISNUMBER((((NºAsuntos!C16+NºAsuntos!E16)/NºAsuntos!G16)-Datos!BG16)/Datos!BG16),(((NºAsuntos!C16+NºAsuntos!E16)/NºAsuntos!G16)-Datos!BG16)/Datos!BG16," - ")</f>
        <v>-2.5054353139681317E-2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-0.2</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0.47239263803680981</v>
      </c>
      <c r="C18" s="515">
        <f>IF(ISNUMBER(
   IF(D_I="SI",(Datos!J18-Datos!T18)/Datos!T18,(Datos!J18+Datos!AD18-(Datos!T18+Datos!AL18))/(Datos!T18+Datos!AL18))
     ),IF(D_I="SI",(Datos!J18-Datos!T18)/Datos!T18,(Datos!J18+Datos!AD18-(Datos!T18+Datos!AL18))/(Datos!T18+Datos!AL18))," - ")</f>
        <v>2.1141649048625793E-2</v>
      </c>
      <c r="D18" s="515">
        <f>IF(ISNUMBER(
   IF(D_I="SI",(Datos!K18-Datos!U18)/Datos!U18,(Datos!K18+Datos!AE18-(Datos!U18+Datos!AM18))/(Datos!U18+Datos!AM18))
     ),IF(D_I="SI",(Datos!K18-Datos!U18)/Datos!U18,(Datos!K18+Datos!AE18-(Datos!U18+Datos!AM18))/(Datos!U18+Datos!AM18))," - ")</f>
        <v>-8.8235294117647065E-2</v>
      </c>
      <c r="E18" s="515">
        <f>IF(ISNUMBER(
   IF(D_I="SI",(Datos!L18-Datos!V18)/Datos!V18,(Datos!L18+Datos!AF18-(Datos!V18+Datos!AN18))/(Datos!V18+Datos!AN18))
     ),IF(D_I="SI",(Datos!L18-Datos!V18)/Datos!V18,(Datos!L18+Datos!AF18-(Datos!V18+Datos!AN18))/(Datos!V18+Datos!AN18))," - ")</f>
        <v>0.52857142857142858</v>
      </c>
      <c r="F18" s="515">
        <f>IF(ISNUMBER((Datos!M18-Datos!W18)/Datos!W18),(Datos!M18-Datos!W18)/Datos!W18," - ")</f>
        <v>0</v>
      </c>
      <c r="G18" s="516">
        <f>IF(ISNUMBER((Datos!N18-Datos!X18)/Datos!X18),(Datos!N18-Datos!X18)/Datos!X18," - ")</f>
        <v>0.13698630136986301</v>
      </c>
      <c r="H18" s="514">
        <f>IF(ISNUMBER(((NºAsuntos!G18/NºAsuntos!E18)-Datos!BD18)/Datos!BD18),((NºAsuntos!G18/NºAsuntos!E18)-Datos!BD18)/Datos!BD18," - ")</f>
        <v>-0.10711241018146397</v>
      </c>
      <c r="I18" s="515">
        <f>IF(ISNUMBER(((NºAsuntos!I18/NºAsuntos!G18)-Datos!BE18)/Datos!BE18),((NºAsuntos!I18/NºAsuntos!G18)-Datos!BE18)/Datos!BE18," - ")</f>
        <v>0.67649769585253461</v>
      </c>
      <c r="J18" s="521">
        <f>IF(ISNUMBER((('Resol  Asuntos'!D18/NºAsuntos!G18)-Datos!BF18)/Datos!BF18),(('Resol  Asuntos'!D18/NºAsuntos!G18)-Datos!BF18)/Datos!BF18," - ")</f>
        <v>9.6774193548387066E-2</v>
      </c>
      <c r="K18" s="522">
        <f>IF(ISNUMBER((((NºAsuntos!C18+NºAsuntos!E18)/NºAsuntos!G18)-Datos!BG18)/Datos!BG18),(((NºAsuntos!C18+NºAsuntos!E18)/NºAsuntos!G18)-Datos!BG18)/Datos!BG18," - ")</f>
        <v>0.24680462568472303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-2.247191011235955E-2</v>
      </c>
      <c r="C23" s="1152">
        <f>IF(ISNUMBER(
   IF(Criterios!B14="SI",(Datos!J23-Datos!T23)/Datos!T23,(Datos!J23+Datos!AD23-(Datos!T23+Datos!AL23))/(Datos!T23+Datos!AL23))
     ),IF(Criterios!B14="SI",(Datos!J23-Datos!T23)/Datos!T23,(Datos!J23+Datos!AD23-(Datos!T23+Datos!AL23))/(Datos!T23+Datos!AL23))," - ")</f>
        <v>-1.1990407673860911E-2</v>
      </c>
      <c r="D23" s="1152">
        <f>IF(ISNUMBER(
   IF(Criterios!B14="SI",(Datos!K23-Datos!U23)/Datos!U23,(Datos!K23+Datos!AE23-(Datos!U23+Datos!AM23))/(Datos!U23+Datos!AM23))
     ),IF(Criterios!B14="SI",(Datos!K23-Datos!U23)/Datos!U23,(Datos!K23+Datos!AE23-(Datos!U23+Datos!AM23))/(Datos!U23+Datos!AM23))," - ")</f>
        <v>-3.3693843594009981E-2</v>
      </c>
      <c r="E23" s="1152">
        <f>IF(ISNUMBER(
   IF(Criterios!B14="SI",(Datos!L23-Datos!V23)/Datos!V23,(Datos!L23+Datos!AF23-(Datos!V23+Datos!AN23))/(Datos!V23+Datos!AN23))
     ),IF(Criterios!B14="SI",(Datos!L23-Datos!V23)/Datos!V23,(Datos!L23+Datos!AF23-(Datos!V23+Datos!AN23))/(Datos!V23+Datos!AN23))," - ")</f>
        <v>7.8627591136526086E-3</v>
      </c>
      <c r="F23" s="1153">
        <f>IF(ISNUMBER((Datos!M23-Datos!W23)/Datos!W23),(Datos!M23-Datos!W23)/Datos!W23," - ")</f>
        <v>-4.145077720207254E-2</v>
      </c>
      <c r="G23" s="1154">
        <f>IF(ISNUMBER((Datos!N23-Datos!X23)/Datos!X23),(Datos!N23-Datos!X23)/Datos!X23," - ")</f>
        <v>-6.0369318181818184E-2</v>
      </c>
      <c r="H23" s="1154">
        <f>IF(ISNUMBER(((NºAsuntos!G23/NºAsuntos!E23)-Datos!BD23)/Datos!BD23),((NºAsuntos!G23/NºAsuntos!E23)-Datos!BD23)/Datos!BD23," - ")</f>
        <v>-2.196682713277218E-2</v>
      </c>
      <c r="I23" s="1154">
        <f>IF(ISNUMBER(((NºAsuntos!I23/NºAsuntos!G23)-Datos!BE23)/Datos!BE23),((NºAsuntos!I23/NºAsuntos!G23)-Datos!BE23)/Datos!BE23," - ")</f>
        <v>4.3005627597598274E-2</v>
      </c>
      <c r="J23" s="1154">
        <f>IF(ISNUMBER((('Resol  Asuntos'!D23/NºAsuntos!G23)-Datos!BF23)/Datos!BF23),(('Resol  Asuntos'!D23/NºAsuntos!G23)-Datos!BF23)/Datos!BF23," - ")</f>
        <v>-8.0274078320198665E-3</v>
      </c>
      <c r="K23" s="1154">
        <f>IF(ISNUMBER((((NºAsuntos!C23+NºAsuntos!E23)/NºAsuntos!G23)-Datos!BG23)/Datos!BG23),(((NºAsuntos!C23+NºAsuntos!E23)/NºAsuntos!G23)-Datos!BG23)/Datos!BG23," - ")</f>
        <v>1.8854193896954516E-2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0.41215298000388273</v>
      </c>
      <c r="C31" s="1092">
        <f>IF(ISNUMBER(
   IF(J_V="SI",(Datos!J31-Datos!T31)/Datos!T31,(Datos!J31+Datos!Z31-(Datos!T31+Datos!AH31))/(Datos!T31+Datos!AH31))
     ),IF(J_V="SI",(Datos!J31-Datos!T31)/Datos!T31,(Datos!J31+Datos!Z31-(Datos!T31+Datos!AH31))/(Datos!T31+Datos!AH31))," - ")</f>
        <v>5.6193858366409027E-2</v>
      </c>
      <c r="D31" s="1092">
        <f>IF(ISNUMBER(
   IF(J_V="SI",(Datos!K31-Datos!U31)/Datos!U31,(Datos!K31+Datos!AA31-(Datos!U31+Datos!AI31))/(Datos!U31+Datos!AI31))
     ),IF(J_V="SI",(Datos!K31-Datos!U31)/Datos!U31,(Datos!K31+Datos!AA31-(Datos!U31+Datos!AI31))/(Datos!U31+Datos!AI31))," - ")</f>
        <v>9.0538705296514255E-3</v>
      </c>
      <c r="E31" s="1092">
        <f>IF(ISNUMBER(
   IF(J_V="SI",(Datos!L31-Datos!V31)/Datos!V31,(Datos!L31+Datos!AB31-(Datos!V31+Datos!AJ31))/(Datos!V31+Datos!AJ31))
     ),IF(J_V="SI",(Datos!L31-Datos!V31)/Datos!V31,(Datos!L31+Datos!AB31-(Datos!V31+Datos!AJ31))/(Datos!V31+Datos!AJ31))," - ")</f>
        <v>0.4220627802690583</v>
      </c>
      <c r="F31" s="1093">
        <f>IF(ISNUMBER((Datos!M31-Datos!W31)/Datos!W31),(Datos!M31-Datos!W31)/Datos!W31," - ")</f>
        <v>1.6853932584269662E-2</v>
      </c>
      <c r="G31" s="1094">
        <f>IF(ISNUMBER((Datos!N31-Datos!X31)/Datos!X31),(Datos!N31-Datos!X31)/Datos!X31," - ")</f>
        <v>-1.6826923076923076E-2</v>
      </c>
      <c r="H31" s="1095">
        <f>IF(ISNUMBER((Tasas!B31-Datos!BD31)/Datos!BD31),(Tasas!B31-Datos!BD31)/Datos!BD31," - ")</f>
        <v>-4.4631946553512429E-2</v>
      </c>
      <c r="I31" s="1096">
        <f>IF(ISNUMBER((Tasas!C31-Datos!BE31)/Datos!BE31),(Tasas!C31-Datos!BE31)/Datos!BE31," - ")</f>
        <v>0.4093031321733287</v>
      </c>
      <c r="J31" s="1097">
        <f>IF(ISNUMBER((Tasas!D31-Datos!BF31)/Datos!BF31),(Tasas!D31-Datos!BF31)/Datos!BF31," - ")</f>
        <v>-0.57958760935397036</v>
      </c>
      <c r="K31" s="1097">
        <f>IF(ISNUMBER((Tasas!E31-Datos!BG31)/Datos!BG31),(Tasas!E31-Datos!BG31)/Datos!BG31," - ")</f>
        <v>0.22956001502721973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36TpSRAPpNrpi2z4OP2vsqxEZMxieXLCZjDbmgvw21gZUZ4XDhCKY70/qoATuHcAx0jG2jv9uFyq0yMHGeXPw==" saltValue="dbmJrUGAVkLFS/plNMRs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TORREJON DE ARDOZ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0.82350628930817615</v>
      </c>
      <c r="C9" s="498">
        <f>IF(ISNUMBER(NºAsuntos!I9/NºAsuntos!G9),NºAsuntos!I9/NºAsuntos!G9," - ")</f>
        <v>3.049164677804296</v>
      </c>
      <c r="D9" s="499">
        <f>IF(ISNUMBER('Resol  Asuntos'!D9/NºAsuntos!G9),'Resol  Asuntos'!D9/NºAsuntos!G9," - ")</f>
        <v>0.16563245823389022</v>
      </c>
      <c r="E9" s="500">
        <f>IF(ISNUMBER((NºAsuntos!C9+NºAsuntos!E9)/NºAsuntos!G9),(NºAsuntos!C9+NºAsuntos!E9)/NºAsuntos!G9," - ")</f>
        <v>4.042959427207637</v>
      </c>
      <c r="G9" s="523"/>
    </row>
    <row r="10" spans="1:7">
      <c r="A10" s="450" t="str">
        <f>Datos!A10</f>
        <v>Jdos. Violencia contra la mujer</v>
      </c>
      <c r="B10" s="497">
        <f>IF(ISNUMBER(NºAsuntos!G10/NºAsuntos!E10),NºAsuntos!G10/NºAsuntos!E10," - ")</f>
        <v>1</v>
      </c>
      <c r="C10" s="498">
        <f>IF(ISNUMBER(NºAsuntos!I10/NºAsuntos!G10),NºAsuntos!I10/NºAsuntos!G10," - ")</f>
        <v>3.25</v>
      </c>
      <c r="D10" s="499">
        <f>IF(ISNUMBER('Resol  Asuntos'!D10/NºAsuntos!G10),'Resol  Asuntos'!D10/NºAsuntos!G10," - ")</f>
        <v>0.27500000000000002</v>
      </c>
      <c r="E10" s="500">
        <f>IF(ISNUMBER((NºAsuntos!C10+NºAsuntos!E10)/NºAsuntos!G10),(NºAsuntos!C10+NºAsuntos!E10)/NºAsuntos!G10," - ")</f>
        <v>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0.82623839009287925</v>
      </c>
      <c r="C14" s="1156">
        <f>IF(ISNUMBER(NºAsuntos!I14/NºAsuntos!G14),NºAsuntos!I14/NºAsuntos!G14," - ")</f>
        <v>3.0529274004683842</v>
      </c>
      <c r="D14" s="1157">
        <f>IF(ISNUMBER('Resol  Asuntos'!D14/NºAsuntos!G14),'Resol  Asuntos'!D14/NºAsuntos!G14," - ")</f>
        <v>0.16768149882903982</v>
      </c>
      <c r="E14" s="1158">
        <f>IF(ISNUMBER((NºAsuntos!C14+NºAsuntos!E14)/NºAsuntos!G14),(NºAsuntos!C14+NºAsuntos!E14)/NºAsuntos!G14," - ")</f>
        <v>4.0468384074941453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0.9648064353946707</v>
      </c>
      <c r="C16" s="498">
        <f>IF(ISNUMBER(NºAsuntos!I16/NºAsuntos!G16),NºAsuntos!I16/NºAsuntos!G16," - ")</f>
        <v>0.56331422615945803</v>
      </c>
      <c r="D16" s="499">
        <f>IF(ISNUMBER('Resol  Asuntos'!D16/NºAsuntos!G16),'Resol  Asuntos'!D16/NºAsuntos!G16," - ")</f>
        <v>9.3277748827514329E-2</v>
      </c>
      <c r="E16" s="500">
        <f>IF(ISNUMBER((NºAsuntos!C16+NºAsuntos!E16)/NºAsuntos!G16),(NºAsuntos!C16+NºAsuntos!E16)/NºAsuntos!G16," - ")</f>
        <v>1.5414278269932256</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8</v>
      </c>
      <c r="D17" s="499">
        <f>IF(ISNUMBER('Resol  Asuntos'!D17/NºAsuntos!G17),'Resol  Asuntos'!D17/NºAsuntos!G17," - ")</f>
        <v>0</v>
      </c>
      <c r="E17" s="500">
        <f>IF(ISNUMBER((NºAsuntos!C17+NºAsuntos!E17)/NºAsuntos!G17),(NºAsuntos!C17+NºAsuntos!E17)/NºAsuntos!G17," - ")</f>
        <v>9</v>
      </c>
      <c r="G17" s="523"/>
    </row>
    <row r="18" spans="1:7">
      <c r="A18" s="450" t="str">
        <f>Datos!A18</f>
        <v>Jdos. Violencia contra la mujer</v>
      </c>
      <c r="B18" s="497">
        <f>IF(ISNUMBER(NºAsuntos!G18/NºAsuntos!E18),NºAsuntos!G18/NºAsuntos!E18," - ")</f>
        <v>0.83436853002070388</v>
      </c>
      <c r="C18" s="498">
        <f>IF(ISNUMBER(NºAsuntos!I18/NºAsuntos!G18),NºAsuntos!I18/NºAsuntos!G18," - ")</f>
        <v>0.79652605459057069</v>
      </c>
      <c r="D18" s="499">
        <f>IF(ISNUMBER('Resol  Asuntos'!D18/NºAsuntos!G18),'Resol  Asuntos'!D18/NºAsuntos!G18," - ")</f>
        <v>1.488833746898263E-2</v>
      </c>
      <c r="E18" s="500">
        <f>IF(ISNUMBER((NºAsuntos!C18+NºAsuntos!E18)/NºAsuntos!G18),(NºAsuntos!C18+NºAsuntos!E18)/NºAsuntos!G18," - ")</f>
        <v>1.7940446650124069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0.93972491909385114</v>
      </c>
      <c r="C23" s="1156">
        <f>IF(ISNUMBER(NºAsuntos!I23/NºAsuntos!G23),NºAsuntos!I23/NºAsuntos!G23," - ")</f>
        <v>0.60697374085234612</v>
      </c>
      <c r="D23" s="1159">
        <f>IF(ISNUMBER('Resol  Asuntos'!D23/NºAsuntos!G23),'Resol  Asuntos'!D23/NºAsuntos!G23," - ")</f>
        <v>7.9638398622470949E-2</v>
      </c>
      <c r="E23" s="1158">
        <f>IF(ISNUMBER((NºAsuntos!C23+NºAsuntos!E23)/NºAsuntos!G23),(NºAsuntos!C23+NºAsuntos!E23)/NºAsuntos!G23," - ")</f>
        <v>1.5884631941455014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0.88172468354430378</v>
      </c>
      <c r="C31" s="1099">
        <f>IF(ISNUMBER(NºAsuntos!I31/NºAsuntos!G31),NºAsuntos!I31/NºAsuntos!G31," - ")</f>
        <v>1.778375953342306</v>
      </c>
      <c r="D31" s="1100">
        <f>IF(ISNUMBER('Resol  Asuntos'!D31/NºAsuntos!G31),'Resol  Asuntos'!D31/NºAsuntos!G31," - ")</f>
        <v>0.12180349932705249</v>
      </c>
      <c r="E31" s="1101">
        <f>IF(ISNUMBER((NºAsuntos!C31+NºAsuntos!E31)/NºAsuntos!G31),(NºAsuntos!C31+NºAsuntos!E31)/NºAsuntos!G31," - ")</f>
        <v>2.7658142664872138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01ekjlR3yxoTa2+e+aF9EUINoYQjOOTd4MbWm4mMXohDlfO48QsVISpZxBWPxRBmE3jowN4cB0N4efzcIwdtA==" saltValue="EmrLgo8aEVKMPSpGOpIb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TORREJON DE ARDOZ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551</v>
      </c>
      <c r="Y9" s="374">
        <f>SUM(W9:X9)</f>
        <v>551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6594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347</v>
      </c>
      <c r="AJ9" s="243" t="str">
        <f>IF(ISNUMBER(Datos!BW9),Datos!BW9," - ")</f>
        <v xml:space="preserve"> - </v>
      </c>
      <c r="AK9" s="242" t="str">
        <f>IF(ISNUMBER(Datos!BX9),Datos!BX9," - ")</f>
        <v xml:space="preserve"> - </v>
      </c>
      <c r="AL9" s="266">
        <f>IF(ISNUMBER(NºAsuntos!G9/NºAsuntos!E9),NºAsuntos!G9/NºAsuntos!E9," - ")</f>
        <v>0.82350628930817615</v>
      </c>
      <c r="AM9" s="284">
        <f>IF(ISNUMBER(((NºAsuntos!I9/NºAsuntos!G9)*11)/factor_trimestre),((NºAsuntos!I9/NºAsuntos!G9)*11)/factor_trimestre," - ")</f>
        <v>6.098329355608592</v>
      </c>
      <c r="AN9" s="267">
        <f>IF(ISNUMBER('Resol  Asuntos'!D9/NºAsuntos!G9),'Resol  Asuntos'!D9/NºAsuntos!G9," - ")</f>
        <v>0.16563245823389022</v>
      </c>
      <c r="AO9" s="268">
        <f>IF(ISNUMBER((NºAsuntos!C9+NºAsuntos!E9)/NºAsuntos!G9),(NºAsuntos!C9+NºAsuntos!E9)/NºAsuntos!G9," - ")</f>
        <v>4.042959427207637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130</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3</v>
      </c>
      <c r="Y10" s="374">
        <f t="shared" ref="Y10:Y13" si="0">SUM(W10:X10)</f>
        <v>43</v>
      </c>
      <c r="Z10" s="375" t="str">
        <f>IF(ISNUMBER(Datos!CC10),Datos!CC10," - ")</f>
        <v xml:space="preserve"> - </v>
      </c>
      <c r="AA10" s="372">
        <f>IF(ISNUMBER(Datos!L10),Datos!L10,"-")</f>
        <v>130</v>
      </c>
      <c r="AB10" s="374">
        <f>IF(ISNUMBER(Datos!R10),Datos!R10," - ")</f>
        <v>85</v>
      </c>
      <c r="AC10" s="374">
        <f t="shared" ref="AC10:AC13" si="1">IF(ISNUMBER(AA10+AB10),AA10+AB10," - ")</f>
        <v>215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6.5</v>
      </c>
      <c r="AN10" s="267">
        <f>IF(ISNUMBER('Resol  Asuntos'!D10/NºAsuntos!G10),'Resol  Asuntos'!D10/NºAsuntos!G10," - ")</f>
        <v>0.27500000000000002</v>
      </c>
      <c r="AO10" s="268">
        <f>IF(ISNUMBER((NºAsuntos!C10+NºAsuntos!E10)/NºAsuntos!G10),(NºAsuntos!C10+NºAsuntos!E10)/NºAsuntos!G10," - ")</f>
        <v>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130</v>
      </c>
      <c r="G14" s="1163">
        <f t="shared" si="5"/>
        <v>130</v>
      </c>
      <c r="H14" s="1162">
        <f t="shared" si="5"/>
        <v>0</v>
      </c>
      <c r="I14" s="1164">
        <f t="shared" si="5"/>
        <v>0</v>
      </c>
      <c r="J14" s="1164">
        <f t="shared" si="5"/>
        <v>0</v>
      </c>
      <c r="K14" s="1164">
        <f t="shared" si="5"/>
        <v>0</v>
      </c>
      <c r="L14" s="1164">
        <f t="shared" si="5"/>
        <v>431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554</v>
      </c>
      <c r="Y14" s="1165">
        <f t="shared" si="6"/>
        <v>594</v>
      </c>
      <c r="Z14" s="1165">
        <f t="shared" si="6"/>
        <v>0</v>
      </c>
      <c r="AA14" s="1165">
        <f t="shared" si="6"/>
        <v>130</v>
      </c>
      <c r="AB14" s="1165">
        <f t="shared" si="6"/>
        <v>6679</v>
      </c>
      <c r="AC14" s="1165">
        <f t="shared" si="6"/>
        <v>215</v>
      </c>
      <c r="AD14" s="1165">
        <f t="shared" si="6"/>
        <v>0</v>
      </c>
      <c r="AE14" s="1169">
        <f t="shared" si="6"/>
        <v>0</v>
      </c>
      <c r="AF14" s="1162">
        <f t="shared" si="6"/>
        <v>0</v>
      </c>
      <c r="AG14" s="1170">
        <f t="shared" si="6"/>
        <v>0</v>
      </c>
      <c r="AH14" s="1167">
        <f t="shared" si="6"/>
        <v>0</v>
      </c>
      <c r="AI14" s="1162">
        <f t="shared" si="6"/>
        <v>358</v>
      </c>
      <c r="AJ14" s="1164">
        <f t="shared" si="6"/>
        <v>0</v>
      </c>
      <c r="AK14" s="1167">
        <f>SUBTOTAL(9,AK9:AK13)</f>
        <v>0</v>
      </c>
      <c r="AL14" s="1171">
        <f>IF(ISNUMBER(NºAsuntos!G14/NºAsuntos!E14),NºAsuntos!G14/NºAsuntos!E14," - ")</f>
        <v>0.82623839009287925</v>
      </c>
      <c r="AM14" s="1171">
        <f>IF(ISNUMBER(((NºAsuntos!I14/NºAsuntos!G14)*11)/factor_trimestre),((NºAsuntos!I14/NºAsuntos!G14)*11)/factor_trimestre," - ")</f>
        <v>6.1058548009367684</v>
      </c>
      <c r="AN14" s="1172">
        <f>IF(ISNUMBER('Resol  Asuntos'!D14/NºAsuntos!G14),'Resol  Asuntos'!D14/NºAsuntos!G14," - ")</f>
        <v>0.16768149882903982</v>
      </c>
      <c r="AO14" s="1173">
        <f>IF(ISNUMBER((NºAsuntos!C14+NºAsuntos!E14)/NºAsuntos!G14),(NºAsuntos!C14+NºAsuntos!E14)/NºAsuntos!G14," - ")</f>
        <v>4.0468384074941453</v>
      </c>
      <c r="AP14" s="1174" t="str">
        <f t="shared" si="2"/>
        <v xml:space="preserve"> - </v>
      </c>
      <c r="AQ14" s="1174">
        <f>IF(ISNUMBER((H14-W14+K14)/(F14)),(H14-W14+K14)/(F14)," - ")</f>
        <v>-0.30769230769230771</v>
      </c>
      <c r="AR14" s="1175">
        <f>IF(ISNUMBER((Datos!P14-Datos!Q14)/(Datos!R14-Datos!P14+Datos!Q14)),(Datos!P14-Datos!Q14)/(Datos!R14-Datos!P14+Datos!Q14)," - ")</f>
        <v>-1.8082916789179653E-2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1011</v>
      </c>
      <c r="G16" s="373">
        <f>IF(ISNUMBER(IF(D_I="SI",Datos!I16,Datos!I16+Datos!AC16)),IF(D_I="SI",Datos!I16,Datos!I16+Datos!AC16)," - ")</f>
        <v>969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1919</v>
      </c>
      <c r="X16" s="240">
        <f>IF(ISNUMBER(Datos!Q16),Datos!Q16," - ")</f>
        <v>44</v>
      </c>
      <c r="Y16" s="374">
        <f>SUM(W16)</f>
        <v>1919</v>
      </c>
      <c r="Z16" s="375" t="str">
        <f>IF(ISNUMBER(Datos!CC16),Datos!CC16," - ")</f>
        <v xml:space="preserve"> - </v>
      </c>
      <c r="AA16" s="372">
        <f>IF(ISNUMBER(IF(D_I="SI",Datos!L16,Datos!L16+Datos!AF16)),IF(D_I="SI",Datos!L16,Datos!L16+Datos!AF16)," - ")</f>
        <v>1081</v>
      </c>
      <c r="AB16" s="374">
        <f>IF(ISNUMBER(Datos!R16),Datos!R16," - ")</f>
        <v>348</v>
      </c>
      <c r="AC16" s="374">
        <f t="shared" ref="AC16:AC22" si="8">IF(ISNUMBER(AA16+AB16),AA16+AB16," - ")</f>
        <v>1429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179</v>
      </c>
      <c r="AJ16" s="245" t="str">
        <f>IF(ISNUMBER(Datos!BW16),Datos!BW16," - ")</f>
        <v xml:space="preserve"> - </v>
      </c>
      <c r="AK16" s="246" t="str">
        <f>IF(ISNUMBER(Datos!BX16),Datos!BX16," - ")</f>
        <v xml:space="preserve"> - </v>
      </c>
      <c r="AL16" s="266">
        <f>IF(ISNUMBER(NºAsuntos!G16/NºAsuntos!E16),NºAsuntos!G16/NºAsuntos!E16," - ")</f>
        <v>0.9648064353946707</v>
      </c>
      <c r="AM16" s="284">
        <f>IF(ISNUMBER(((NºAsuntos!I16/NºAsuntos!G16)*11)/factor_trimestre),((NºAsuntos!I16/NºAsuntos!G16)*11)/factor_trimestre," - ")</f>
        <v>1.1266284523189161</v>
      </c>
      <c r="AN16" s="267">
        <f>IF(ISNUMBER('Resol  Asuntos'!D16/NºAsuntos!G16),'Resol  Asuntos'!D16/NºAsuntos!G16," - ")</f>
        <v>9.3277748827514329E-2</v>
      </c>
      <c r="AO16" s="268">
        <f>IF(ISNUMBER((NºAsuntos!C16+NºAsuntos!E16)/NºAsuntos!G16),(NºAsuntos!C16+NºAsuntos!E16)/NºAsuntos!G16," - ")</f>
        <v>1.5414278269932256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9</v>
      </c>
      <c r="G17" s="373">
        <f>IF(ISNUMBER(IF(D_I="SI",Datos!I17,Datos!I17+Datos!AC17)),IF(D_I="SI",Datos!I17,Datos!I17+Datos!AC17)," - ")</f>
        <v>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16</v>
      </c>
      <c r="AN17" s="267">
        <f>IF(ISNUMBER('Resol  Asuntos'!D17/NºAsuntos!G17),'Resol  Asuntos'!D17/NºAsuntos!G17," - ")</f>
        <v>0</v>
      </c>
      <c r="AO17" s="268">
        <f>IF(ISNUMBER((NºAsuntos!C17+NºAsuntos!E17)/NºAsuntos!G17),(NºAsuntos!C17+NºAsuntos!E17)/NºAsuntos!G17," - ")</f>
        <v>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403</v>
      </c>
      <c r="X18" s="240">
        <f>IF(ISNUMBER(Datos!Q18),Datos!Q18," - ")</f>
        <v>0</v>
      </c>
      <c r="Y18" s="374">
        <f t="shared" si="9"/>
        <v>403</v>
      </c>
      <c r="Z18" s="375" t="str">
        <f>IF(ISNUMBER(Datos!CC18),Datos!CC18," - ")</f>
        <v xml:space="preserve"> - </v>
      </c>
      <c r="AA18" s="372">
        <f>IF(ISNUMBER(Datos!L18),Datos!L18,"-")</f>
        <v>321</v>
      </c>
      <c r="AB18" s="374">
        <f>IF(ISNUMBER(Datos!R18),Datos!R18," - ")</f>
        <v>7</v>
      </c>
      <c r="AC18" s="374">
        <f t="shared" si="8"/>
        <v>328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0.83436853002070388</v>
      </c>
      <c r="AM18" s="284">
        <f>IF(ISNUMBER(((NºAsuntos!I18/NºAsuntos!G18)*11)/factor_trimestre),((NºAsuntos!I18/NºAsuntos!G18)*11)/factor_trimestre," - ")</f>
        <v>1.5930521091811414</v>
      </c>
      <c r="AN18" s="267">
        <f>IF(ISNUMBER('Resol  Asuntos'!D18/NºAsuntos!G18),'Resol  Asuntos'!D18/NºAsuntos!G18," - ")</f>
        <v>1.488833746898263E-2</v>
      </c>
      <c r="AO18" s="268">
        <f>IF(ISNUMBER((NºAsuntos!C18+NºAsuntos!E18)/NºAsuntos!G18),(NºAsuntos!C18+NºAsuntos!E18)/NºAsuntos!G18," - ")</f>
        <v>1.7940446650124069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1020</v>
      </c>
      <c r="G23" s="1163">
        <f>SUBTOTAL(9,G16:G22)</f>
        <v>1218</v>
      </c>
      <c r="H23" s="1162">
        <f t="shared" ref="H23:O23" si="13">SUBTOTAL(9,H15:H22)</f>
        <v>0</v>
      </c>
      <c r="I23" s="1164">
        <f t="shared" si="13"/>
        <v>0</v>
      </c>
      <c r="J23" s="1164">
        <f t="shared" si="13"/>
        <v>0</v>
      </c>
      <c r="K23" s="1164">
        <f t="shared" si="13"/>
        <v>0</v>
      </c>
      <c r="L23" s="1164">
        <f t="shared" si="13"/>
        <v>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2323</v>
      </c>
      <c r="X23" s="1164">
        <f t="shared" si="14"/>
        <v>44</v>
      </c>
      <c r="Y23" s="1165">
        <f t="shared" si="14"/>
        <v>2323</v>
      </c>
      <c r="Z23" s="1165">
        <f t="shared" si="14"/>
        <v>0</v>
      </c>
      <c r="AA23" s="1165">
        <f t="shared" si="14"/>
        <v>1410</v>
      </c>
      <c r="AB23" s="1165">
        <f t="shared" si="14"/>
        <v>355</v>
      </c>
      <c r="AC23" s="1165">
        <f t="shared" si="14"/>
        <v>1765</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0.93972491909385114</v>
      </c>
      <c r="AM23" s="1171">
        <f>IF(ISNUMBER(((NºAsuntos!I23/NºAsuntos!G23)*11)/factor_trimestre),((NºAsuntos!I23/NºAsuntos!G23)*11)/factor_trimestre," - ")</f>
        <v>1.2139474817046922</v>
      </c>
      <c r="AN23" s="1172">
        <f>IF(ISNUMBER('Resol  Asuntos'!D23/NºAsuntos!G23),'Resol  Asuntos'!D23/NºAsuntos!G23," - ")</f>
        <v>7.9638398622470949E-2</v>
      </c>
      <c r="AO23" s="1173">
        <f>IF(ISNUMBER((NºAsuntos!C23+NºAsuntos!E23)/NºAsuntos!G23),(NºAsuntos!C23+NºAsuntos!E23)/NºAsuntos!G23," - ")</f>
        <v>1.5884631941455014</v>
      </c>
      <c r="AP23" s="1174" t="str">
        <f t="shared" si="2"/>
        <v xml:space="preserve"> - </v>
      </c>
      <c r="AQ23" s="1174">
        <f>IF(ISNUMBER((H23-W23+K23)/(F23)),(H23-W23+K23)/(F23)," - ")</f>
        <v>-2.2774509803921568</v>
      </c>
      <c r="AR23" s="1175">
        <f>IF(ISNUMBER((Datos!P23-Datos!Q23)/(Datos!R23-Datos!P23+Datos!Q23)),(Datos!P23-Datos!Q23)/(Datos!R23-Datos!P23+Datos!Q23)," - ")</f>
        <v>7.9027355623100301E-2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1150</v>
      </c>
      <c r="G31" s="1118">
        <f t="shared" si="20"/>
        <v>1348</v>
      </c>
      <c r="H31" s="1117">
        <f t="shared" si="20"/>
        <v>0</v>
      </c>
      <c r="I31" s="1119">
        <f t="shared" si="20"/>
        <v>0</v>
      </c>
      <c r="J31" s="1119">
        <f t="shared" si="20"/>
        <v>0</v>
      </c>
      <c r="K31" s="1180">
        <f t="shared" si="20"/>
        <v>0</v>
      </c>
      <c r="L31" s="1119">
        <f t="shared" si="20"/>
        <v>501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2363</v>
      </c>
      <c r="X31" s="1118">
        <f t="shared" si="21"/>
        <v>598</v>
      </c>
      <c r="Y31" s="1125">
        <f t="shared" si="21"/>
        <v>2917</v>
      </c>
      <c r="Z31" s="1125">
        <f t="shared" si="21"/>
        <v>0</v>
      </c>
      <c r="AA31" s="1125">
        <f t="shared" si="21"/>
        <v>1540</v>
      </c>
      <c r="AB31" s="1125">
        <f t="shared" si="21"/>
        <v>7034</v>
      </c>
      <c r="AC31" s="1125">
        <f t="shared" si="21"/>
        <v>1980</v>
      </c>
      <c r="AD31" s="1125">
        <f t="shared" si="21"/>
        <v>0</v>
      </c>
      <c r="AE31" s="1127">
        <f t="shared" si="21"/>
        <v>0</v>
      </c>
      <c r="AF31" s="1128">
        <f t="shared" si="21"/>
        <v>0</v>
      </c>
      <c r="AG31" s="1129">
        <f t="shared" si="21"/>
        <v>0</v>
      </c>
      <c r="AH31" s="1127">
        <f t="shared" si="21"/>
        <v>0</v>
      </c>
      <c r="AI31" s="1117">
        <f t="shared" si="21"/>
        <v>543</v>
      </c>
      <c r="AJ31" s="1117">
        <f t="shared" si="21"/>
        <v>0</v>
      </c>
      <c r="AK31" s="1127">
        <f t="shared" si="21"/>
        <v>0</v>
      </c>
      <c r="AL31" s="1183">
        <f>IF(ISNUMBER(NºAsuntos!G31/NºAsuntos!E31),NºAsuntos!G31/NºAsuntos!E31," - ")</f>
        <v>0.88172468354430378</v>
      </c>
      <c r="AM31" s="1184">
        <f>IF(ISNUMBER(((NºAsuntos!I31/NºAsuntos!G31)*11)/factor_trimestre),((NºAsuntos!I31/NºAsuntos!G31)*11)/factor_trimestre," - ")</f>
        <v>3.5567519066846121</v>
      </c>
      <c r="AN31" s="1184">
        <f>IF(ISNUMBER('Resol  Asuntos'!D31/NºAsuntos!G31),'Resol  Asuntos'!D31/NºAsuntos!G31," - ")</f>
        <v>0.12180349932705249</v>
      </c>
      <c r="AO31" s="1185">
        <f>IF(ISNUMBER((NºAsuntos!C31+NºAsuntos!E31)/NºAsuntos!G31),(NºAsuntos!C31+NºAsuntos!E31)/NºAsuntos!G31," - ")</f>
        <v>2.7658142664872138</v>
      </c>
      <c r="AP31" s="1186" t="str">
        <f t="shared" si="2"/>
        <v xml:space="preserve"> - </v>
      </c>
      <c r="AQ31" s="1187">
        <f>IF(OR(ISNUMBER(FIND("01",Criterios!A8,1)),ISNUMBER(FIND("02",Criterios!A8,1)),ISNUMBER(FIND("03",Criterios!A8,1)),ISNUMBER(FIND("04",Criterios!A8,1))),(I31-W31+K31)/(F31-K31),(H31-W31+K31)/(F31-K31))</f>
        <v>-2.054782608695652</v>
      </c>
      <c r="AR31" s="1188">
        <f>IF(ISNUMBER((Datos!P31-Datos!Q31)/(Datos!R31-Datos!P31+Datos!Q31)),(Datos!P31-Datos!Q31)/(Datos!R31-Datos!P31+Datos!Q31)," - ")</f>
        <v>-1.3602580283270228E-2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472.70281613393462</v>
      </c>
      <c r="G33" s="277">
        <f>IF(ISNUMBER(STDEV(G8:G30)),STDEV(G8:G30),"-")</f>
        <v>478.89963159607584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960.10531416387562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151.63772617656861</v>
      </c>
      <c r="AJ33" s="276">
        <f t="shared" si="25"/>
        <v>0</v>
      </c>
      <c r="AK33" s="278">
        <f t="shared" si="25"/>
        <v>0</v>
      </c>
      <c r="AL33" s="273">
        <f t="shared" si="25"/>
        <v>7.9190914883695229E-2</v>
      </c>
      <c r="AM33" s="274">
        <f t="shared" si="25"/>
        <v>5.2398029796143986</v>
      </c>
      <c r="AN33" s="274">
        <f t="shared" si="25"/>
        <v>9.6520603414367717E-2</v>
      </c>
      <c r="AO33" s="275">
        <f t="shared" si="25"/>
        <v>2.6255858076765644</v>
      </c>
      <c r="AP33" s="317" t="str">
        <f t="shared" si="25"/>
        <v>-</v>
      </c>
      <c r="AQ33" s="318">
        <f t="shared" si="25"/>
        <v>1.3928297147670767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YlCqb8CIhmxB0Qm+gm5iLBj6S/i0E14YoWz1F0qLDKkDPgHBJL64JcSl++hNyxu40NdCaVlI1YI1pjqHVTHRA==" saltValue="fSn2N3OKiVdsFlrBD5jf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TORREJON DE ARDOZ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3.5820895522388062E-2</v>
      </c>
      <c r="I9" s="395">
        <f>IF(ISNUMBER((Tasas!C9-Datos!BE9)/Datos!BE9),(Tasas!C9-Datos!BE9)/Datos!BE9," - ")</f>
        <v>0.4872334330005767</v>
      </c>
      <c r="J9" s="394">
        <f>IF(ISNUMBER((Tasas!D9-Datos!BF9)/Datos!BF9),(Tasas!D9-Datos!BF9)/Datos!BF9," - ")</f>
        <v>-0.69493596267930124</v>
      </c>
      <c r="K9" s="396">
        <f>IF(ISNUMBER((Tasas!E9-Datos!BG9)/Datos!BG9),(Tasas!E9-Datos!BG9)/Datos!BG9," - ")</f>
        <v>0.32546224593617751</v>
      </c>
      <c r="M9" t="e">
        <f>IF(Monitorios="SI",Datos!CE9,0)</f>
        <v>#REF!</v>
      </c>
      <c r="N9" t="e">
        <f>IF(Monitorios="SI",Datos!CF9,0)</f>
        <v>#REF!</v>
      </c>
      <c r="O9" t="e">
        <f>IF(Monitorios="SI",Datos!CG9,0)</f>
        <v>#REF!</v>
      </c>
      <c r="P9" t="e">
        <f>IF(Monitorios="SI",Datos!CH9,0)</f>
        <v>#REF!</v>
      </c>
      <c r="Q9">
        <f>IF(J_V="SI",0,Datos!AG9)</f>
        <v>158</v>
      </c>
      <c r="R9">
        <f>IF(J_V="SI",0,Datos!AH9)</f>
        <v>210</v>
      </c>
      <c r="S9">
        <f>IF(J_V="SI",0,Datos!AI9)</f>
        <v>186</v>
      </c>
      <c r="T9">
        <f>IF(J_V="SI",0,Datos!AJ9)</f>
        <v>182</v>
      </c>
    </row>
    <row r="10" spans="2:20" ht="14.25">
      <c r="B10" s="300" t="s">
        <v>321</v>
      </c>
      <c r="C10" s="7" t="str">
        <f>Datos!A10</f>
        <v>Jdos. Violencia contra la mujer</v>
      </c>
      <c r="D10" s="397">
        <f>IF(ISNUMBER((Datos!I10-Datos!S10)/Datos!S10),(Datos!I10-Datos!S10)/Datos!S10," - ")</f>
        <v>0.4606741573033708</v>
      </c>
      <c r="E10" s="393">
        <f>IF(ISNUMBER((Datos!J10-Datos!T10)/Datos!T10),(Datos!J10-Datos!T10)/Datos!T10," - ")</f>
        <v>0.42857142857142855</v>
      </c>
      <c r="F10" s="393">
        <f>IF(ISNUMBER((Datos!K10-Datos!U10)/Datos!U10),(Datos!K10-Datos!U10)/Datos!U10," - ")</f>
        <v>0.73913043478260865</v>
      </c>
      <c r="G10" s="394">
        <f>IF(ISNUMBER((Datos!L10-Datos!V10)/Datos!V10),(Datos!L10-Datos!V10)/Datos!V10," - ")</f>
        <v>0.38297872340425532</v>
      </c>
      <c r="H10" s="244">
        <f>IF(ISNUMBER((Datos!M10-Datos!W10)/Datos!W10),(Datos!M10-Datos!W10)/Datos!W10," - ")</f>
        <v>0.83333333333333337</v>
      </c>
      <c r="I10" s="395">
        <f>IF(ISNUMBER((Tasas!C10-Datos!BE10)/Datos!BE10),(Tasas!C10-Datos!BE10)/Datos!BE10," - ")</f>
        <v>-0.20478723404255328</v>
      </c>
      <c r="J10" s="394">
        <f>IF(ISNUMBER((Tasas!D10-Datos!BF10)/Datos!BF10),(Tasas!D10-Datos!BF10)/Datos!BF10," - ")</f>
        <v>5.416666666666678E-2</v>
      </c>
      <c r="K10" s="396">
        <f>IF(ISNUMBER((Tasas!E10-Datos!BG10)/Datos!BG10),(Tasas!E10-Datos!BG10)/Datos!BG10," - ")</f>
        <v>-0.16452991452991458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4.9853372434017593E-2</v>
      </c>
      <c r="I14" s="402">
        <f>IF(ISNUMBER((Tasas!C14-Datos!BE14)/Datos!BE14),(Tasas!C14-Datos!BE14)/Datos!BE14," - ")</f>
        <v>0.47236489093470446</v>
      </c>
      <c r="J14" s="400">
        <f>IF(ISNUMBER((Tasas!D14-Datos!BF14)/Datos!BF14),(Tasas!D14-Datos!BF14)/Datos!BF14," - ")</f>
        <v>-0.68931873170038072</v>
      </c>
      <c r="K14" s="403">
        <f>IF(ISNUMBER((Tasas!E14-Datos!BG14)/Datos!BG14),(Tasas!E14-Datos!BG14)/Datos!BG14," - ")</f>
        <v>0.31669346570164919</v>
      </c>
      <c r="M14" t="e">
        <f>IF(Monitorios="SI",Datos!CE14,0)</f>
        <v>#REF!</v>
      </c>
      <c r="N14" t="e">
        <f>IF(Monitorios="SI",Datos!CF14,0)</f>
        <v>#REF!</v>
      </c>
      <c r="O14" t="e">
        <f>IF(Monitorios="SI",Datos!CG14,0)</f>
        <v>#REF!</v>
      </c>
      <c r="P14" t="e">
        <f>IF(Monitorios="SI",Datos!CH14,0)</f>
        <v>#REF!</v>
      </c>
      <c r="Q14">
        <f>IF(J_V="SI",0,Datos!AG14)</f>
        <v>158</v>
      </c>
      <c r="R14">
        <f>IF(J_V="SI",0,Datos!AH14)</f>
        <v>210</v>
      </c>
      <c r="S14">
        <f>IF(J_V="SI",0,Datos!AI14)</f>
        <v>186</v>
      </c>
      <c r="T14">
        <f>IF(J_V="SI",0,Datos!AJ14)</f>
        <v>182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-9.6924510717614168E-2</v>
      </c>
      <c r="E16" s="393">
        <f>IF(ISNUMBER(
   IF(D_I="SI",(Datos!J16-Datos!T16)/Datos!T16,(Datos!J16+Datos!AD16-(Datos!T16+Datos!AL16))/(Datos!T16+Datos!AL16))
     ),IF(D_I="SI",(Datos!J16-Datos!T16)/Datos!T16,(Datos!J16+Datos!AD16-(Datos!T16+Datos!AL16))/(Datos!T16+Datos!AL16))," - ")</f>
        <v>-1.9714144898965006E-2</v>
      </c>
      <c r="F16" s="393">
        <f>IF(ISNUMBER(
   IF(D_I="SI",(Datos!K16-Datos!U16)/Datos!U16,(Datos!K16+Datos!AE16-(Datos!U16+Datos!AM16))/(Datos!U16+Datos!AM16))
     ),IF(D_I="SI",(Datos!K16-Datos!U16)/Datos!U16,(Datos!K16+Datos!AE16-(Datos!U16+Datos!AM16))/(Datos!U16+Datos!AM16))," - ")</f>
        <v>-2.1916411824668705E-2</v>
      </c>
      <c r="G16" s="394">
        <f>IF(ISNUMBER(
   IF(D_I="SI",(Datos!L16-Datos!V16)/Datos!V16,(Datos!L16+Datos!AF16-(Datos!V16+Datos!AN16))/(Datos!V16+Datos!AN16))
     ),IF(D_I="SI",(Datos!L16-Datos!V16)/Datos!V16,(Datos!L16+Datos!AF16-(Datos!V16+Datos!AN16))/(Datos!V16+Datos!AN16))," - ")</f>
        <v>-8.3121289228159451E-2</v>
      </c>
      <c r="H16" s="244">
        <f>IF(ISNUMBER((Datos!M16-Datos!W16)/Datos!W16),(Datos!M16-Datos!W16)/Datos!W16," - ")</f>
        <v>-4.2780748663101602E-2</v>
      </c>
      <c r="I16" s="395">
        <f>IF(ISNUMBER((Tasas!C16-Datos!BE16)/Datos!BE16),(Tasas!C16-Datos!BE16)/Datos!BE16," - ")</f>
        <v>-6.2576325933115559E-2</v>
      </c>
      <c r="J16" s="394">
        <f>IF(ISNUMBER((Tasas!D16-Datos!BF16)/Datos!BF16),(Tasas!D16-Datos!BF16)/Datos!BF16," - ")</f>
        <v>-2.133185454768393E-2</v>
      </c>
      <c r="K16" s="396">
        <f>IF(ISNUMBER((Tasas!E16-Datos!BG16)/Datos!BG16),(Tasas!E16-Datos!BG16)/Datos!BG16," - ")</f>
        <v>-2.5054353139681317E-2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-0.2</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0.47239263803680981</v>
      </c>
      <c r="E18" s="393">
        <f>IF(ISNUMBER(
   IF(D_I="SI",(Datos!J18-Datos!T18)/Datos!T18,(Datos!J18+Datos!AD18-(Datos!T18+Datos!AL18))/(Datos!T18+Datos!AL18))
     ),IF(D_I="SI",(Datos!J18-Datos!T18)/Datos!T18,(Datos!J18+Datos!AD18-(Datos!T18+Datos!AL18))/(Datos!T18+Datos!AL18))," - ")</f>
        <v>2.1141649048625793E-2</v>
      </c>
      <c r="F18" s="393">
        <f>IF(ISNUMBER(
   IF(D_I="SI",(Datos!K18-Datos!U18)/Datos!U18,(Datos!K18+Datos!AE18-(Datos!U18+Datos!AM18))/(Datos!U18+Datos!AM18))
     ),IF(D_I="SI",(Datos!K18-Datos!U18)/Datos!U18,(Datos!K18+Datos!AE18-(Datos!U18+Datos!AM18))/(Datos!U18+Datos!AM18))," - ")</f>
        <v>-8.8235294117647065E-2</v>
      </c>
      <c r="G18" s="394">
        <f>IF(ISNUMBER(
   IF(D_I="SI",(Datos!L18-Datos!V18)/Datos!V18,(Datos!L18+Datos!AF18-(Datos!V18+Datos!AN18))/(Datos!V18+Datos!AN18))
     ),IF(D_I="SI",(Datos!L18-Datos!V18)/Datos!V18,(Datos!L18+Datos!AF18-(Datos!V18+Datos!AN18))/(Datos!V18+Datos!AN18))," - ")</f>
        <v>0.52857142857142858</v>
      </c>
      <c r="H18" s="244">
        <f>IF(ISNUMBER((Datos!M18-Datos!W18)/Datos!W18),(Datos!M18-Datos!W18)/Datos!W18," - ")</f>
        <v>0</v>
      </c>
      <c r="I18" s="395">
        <f>IF(ISNUMBER((Tasas!C18-Datos!BE18)/Datos!BE18),(Tasas!C18-Datos!BE18)/Datos!BE18," - ")</f>
        <v>0.67649769585253461</v>
      </c>
      <c r="J18" s="394">
        <f>IF(ISNUMBER((Tasas!D18-Datos!BF18)/Datos!BF18),(Tasas!D18-Datos!BF18)/Datos!BF18," - ")</f>
        <v>9.6774193548387066E-2</v>
      </c>
      <c r="K18" s="396">
        <f>IF(ISNUMBER((Tasas!E18-Datos!BG18)/Datos!BG18),(Tasas!E18-Datos!BG18)/Datos!BG18," - ")</f>
        <v>0.24680462568472303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-2.247191011235955E-2</v>
      </c>
      <c r="E23" s="399">
        <f>IF(ISNUMBER(
   IF(D_I="SI",(Datos!J23-Datos!T23)/Datos!T23,(Datos!J23+Datos!AD23-(Datos!T23+Datos!AL23))/(Datos!T23+Datos!AL23))
     ),IF(D_I="SI",(Datos!J23-Datos!T23)/Datos!T23,(Datos!J23+Datos!AD23-(Datos!T23+Datos!AL23))/(Datos!T23+Datos!AL23))," - ")</f>
        <v>-1.1990407673860911E-2</v>
      </c>
      <c r="F23" s="399">
        <f>IF(ISNUMBER(
   IF(D_I="SI",(Datos!K23-Datos!U23)/Datos!U23,(Datos!K23+Datos!AE23-(Datos!U23+Datos!AM23))/(Datos!U23+Datos!AM23))
     ),IF(D_I="SI",(Datos!K23-Datos!U23)/Datos!U23,(Datos!K23+Datos!AE23-(Datos!U23+Datos!AM23))/(Datos!U23+Datos!AM23))," - ")</f>
        <v>-3.3693843594009981E-2</v>
      </c>
      <c r="G23" s="400">
        <f>IF(ISNUMBER(
   IF(D_I="SI",(Datos!L23-Datos!V23)/Datos!V23,(Datos!L23+Datos!AF23-(Datos!V23+Datos!AN23))/(Datos!V23+Datos!AN23))
     ),IF(D_I="SI",(Datos!L23-Datos!V23)/Datos!V23,(Datos!L23+Datos!AF23-(Datos!V23+Datos!AN23))/(Datos!V23+Datos!AN23))," - ")</f>
        <v>7.8627591136526086E-3</v>
      </c>
      <c r="H23" s="401">
        <f>IF(ISNUMBER((Datos!M23-Datos!W23)/Datos!W23),(Datos!M23-Datos!W23)/Datos!W23," - ")</f>
        <v>-4.145077720207254E-2</v>
      </c>
      <c r="I23" s="402">
        <f>IF(ISNUMBER((Tasas!C23-Datos!BE23)/Datos!BE23),(Tasas!C23-Datos!BE23)/Datos!BE23," - ")</f>
        <v>4.3005627597598274E-2</v>
      </c>
      <c r="J23" s="400">
        <f>IF(ISNUMBER((Tasas!D23-Datos!BF23)/Datos!BF23),(Tasas!D23-Datos!BF23)/Datos!BF23," - ")</f>
        <v>-8.0274078320198665E-3</v>
      </c>
      <c r="K23" s="403">
        <f>IF(ISNUMBER((Tasas!E23-Datos!BG23)/Datos!BG23),(Tasas!E23-Datos!BG23)/Datos!BG23," - ")</f>
        <v>1.8854193896954516E-2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0.41215298000388273</v>
      </c>
      <c r="E31" s="409">
        <f>IF(ISNUMBER(
   IF(J_V="SI",(Datos!J31-Datos!T31)/Datos!T31,(Datos!J31+Datos!Z31-(Datos!T31+Datos!AH31))/(Datos!T31+Datos!AH31))
     ),IF(J_V="SI",(Datos!J31-Datos!T31)/Datos!T31,(Datos!J31+Datos!Z31-(Datos!T31+Datos!AH31))/(Datos!T31+Datos!AH31))," - ")</f>
        <v>5.6193858366409027E-2</v>
      </c>
      <c r="F31" s="409">
        <f>IF(ISNUMBER(
   IF(J_V="SI",(Datos!K31-Datos!U31)/Datos!U31,(Datos!K31+Datos!AA31-(Datos!U31+Datos!AI31))/(Datos!U31+Datos!AI31))
     ),IF(J_V="SI",(Datos!K31-Datos!U31)/Datos!U31,(Datos!K31+Datos!AA31-(Datos!U31+Datos!AI31))/(Datos!U31+Datos!AI31))," - ")</f>
        <v>9.0538705296514255E-3</v>
      </c>
      <c r="G31" s="410">
        <f>IF(ISNUMBER(
   IF(J_V="SI",(Datos!L31-Datos!V31)/Datos!V31,(Datos!L31+Datos!AB31-(Datos!V31+Datos!AJ31))/(Datos!V31+Datos!AJ31))
     ),IF(J_V="SI",(Datos!L31-Datos!V31)/Datos!V31,(Datos!L31+Datos!AB31-(Datos!V31+Datos!AJ31))/(Datos!V31+Datos!AJ31))," - ")</f>
        <v>0.4220627802690583</v>
      </c>
      <c r="H31" s="411">
        <f>IF(ISNUMBER((Datos!M31-Datos!W31)/Datos!W31),(Datos!M31-Datos!W31)/Datos!W31," - ")</f>
        <v>1.6853932584269662E-2</v>
      </c>
      <c r="I31" s="408">
        <f>IF(ISNUMBER((Tasas!C31-Datos!BE31)/Datos!BE31),(Tasas!C31-Datos!BE31)/Datos!BE31," - ")</f>
        <v>0.4093031321733287</v>
      </c>
      <c r="J31" s="409">
        <f>IF(ISNUMBER((Tasas!D31-Datos!BF31)/Datos!BF31),(Tasas!D31-Datos!BF31)/Datos!BF31," - ")</f>
        <v>-0.57958760935397036</v>
      </c>
      <c r="K31" s="410">
        <f>IF(ISNUMBER((Tasas!E31-Datos!BG31)/Datos!BG31),(Tasas!E31-Datos!BG31)/Datos!BG31," - ")</f>
        <v>0.22956001502721973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0.29724137939971718</v>
      </c>
      <c r="E33" s="303">
        <f t="shared" si="1"/>
        <v>0.21677182654002286</v>
      </c>
      <c r="F33" s="303">
        <f t="shared" si="1"/>
        <v>0.39459846565958318</v>
      </c>
      <c r="G33" s="304">
        <f t="shared" si="1"/>
        <v>0.31307268476189326</v>
      </c>
      <c r="H33" s="310">
        <f t="shared" si="1"/>
        <v>0.34223367741358829</v>
      </c>
      <c r="I33" s="302">
        <f t="shared" si="1"/>
        <v>0.35600837859250839</v>
      </c>
      <c r="J33" s="303">
        <f t="shared" si="1"/>
        <v>0.37555057562239208</v>
      </c>
      <c r="K33" s="304">
        <f t="shared" si="1"/>
        <v>0.20455339487517507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aUu1IQ2h0fFLu0G1ouOFSZcmp49ANioZQjx1atblOgddVSa7diLxfwkrkUFZBPpMz+dC0/SCoPbRV5D0kew8A==" saltValue="rhlyK/zTynKwp5fuUgEW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